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700" firstSheet="2" activeTab="6"/>
  </bookViews>
  <sheets>
    <sheet name="CAGED" sheetId="3" r:id="rId1"/>
    <sheet name="Encargos" sheetId="4" r:id="rId2"/>
    <sheet name="Mão de obra" sheetId="5" r:id="rId3"/>
    <sheet name="Remuneração de capital" sheetId="6" r:id="rId4"/>
    <sheet name="Impostos e manutenção" sheetId="7" r:id="rId5"/>
    <sheet name="BDI" sheetId="8" r:id="rId6"/>
    <sheet name="Composição de custos" sheetId="2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" l="1"/>
  <c r="B1" i="7"/>
  <c r="F34" i="7"/>
  <c r="E33" i="7"/>
  <c r="C32" i="7" l="1"/>
  <c r="C56" i="5"/>
  <c r="C51" i="5"/>
  <c r="C46" i="5"/>
  <c r="D12" i="6" l="1"/>
  <c r="D25" i="6"/>
  <c r="E18" i="5" l="1"/>
  <c r="E25" i="6" l="1"/>
  <c r="C14" i="6"/>
  <c r="C13" i="6"/>
  <c r="C16" i="6" s="1"/>
  <c r="E12" i="6"/>
  <c r="D15" i="6" l="1"/>
  <c r="E15" i="6" s="1"/>
  <c r="D6" i="7"/>
  <c r="D16" i="6"/>
  <c r="E16" i="6" s="1"/>
  <c r="E17" i="6" s="1"/>
  <c r="D18" i="6" l="1"/>
  <c r="E18" i="6" s="1"/>
  <c r="C6" i="8" l="1"/>
  <c r="C11" i="8" s="1"/>
  <c r="C19" i="8" s="1"/>
  <c r="E10" i="7"/>
  <c r="C8" i="7"/>
  <c r="E8" i="7" s="1"/>
  <c r="C7" i="7"/>
  <c r="C6" i="7"/>
  <c r="E6" i="7" s="1"/>
  <c r="C42" i="7"/>
  <c r="C40" i="7"/>
  <c r="E40" i="7" s="1"/>
  <c r="E38" i="7"/>
  <c r="D26" i="7"/>
  <c r="D24" i="7"/>
  <c r="D22" i="7"/>
  <c r="D20" i="7"/>
  <c r="D18" i="7"/>
  <c r="C18" i="7"/>
  <c r="C26" i="7" s="1"/>
  <c r="E7" i="7"/>
  <c r="D27" i="7" l="1"/>
  <c r="E26" i="7"/>
  <c r="F7" i="7"/>
  <c r="F8" i="7"/>
  <c r="F6" i="7"/>
  <c r="E32" i="6"/>
  <c r="E19" i="6"/>
  <c r="F19" i="6" s="1"/>
  <c r="B10" i="2" s="1"/>
  <c r="D9" i="7"/>
  <c r="E9" i="7" s="1"/>
  <c r="F10" i="7" s="1"/>
  <c r="D41" i="7"/>
  <c r="E41" i="7" s="1"/>
  <c r="D42" i="7" s="1"/>
  <c r="E42" i="7" s="1"/>
  <c r="F43" i="7" s="1"/>
  <c r="B15" i="2" s="1"/>
  <c r="C20" i="7"/>
  <c r="E20" i="7" s="1"/>
  <c r="C24" i="7"/>
  <c r="E24" i="7" s="1"/>
  <c r="E32" i="7"/>
  <c r="B14" i="2" s="1"/>
  <c r="E18" i="7"/>
  <c r="F28" i="7" s="1"/>
  <c r="B13" i="2" s="1"/>
  <c r="C22" i="7"/>
  <c r="E22" i="7" s="1"/>
  <c r="B12" i="2" l="1"/>
  <c r="F45" i="7"/>
  <c r="C7" i="6"/>
  <c r="C28" i="6" s="1"/>
  <c r="D29" i="6" s="1"/>
  <c r="E29" i="6" s="1"/>
  <c r="E30" i="6" s="1"/>
  <c r="D31" i="6" s="1"/>
  <c r="E31" i="6" s="1"/>
  <c r="F32" i="6" s="1"/>
  <c r="B11" i="2" s="1"/>
  <c r="E57" i="5"/>
  <c r="B9" i="2" l="1"/>
  <c r="E39" i="5"/>
  <c r="E56" i="5"/>
  <c r="E51" i="5"/>
  <c r="F52" i="5" s="1"/>
  <c r="B7" i="2" s="1"/>
  <c r="A51" i="5"/>
  <c r="A56" i="5" s="1"/>
  <c r="D34" i="5"/>
  <c r="C34" i="5"/>
  <c r="C31" i="5"/>
  <c r="C28" i="5"/>
  <c r="C25" i="5"/>
  <c r="D23" i="5"/>
  <c r="D22" i="5"/>
  <c r="D29" i="5" s="1"/>
  <c r="E29" i="5" s="1"/>
  <c r="D13" i="5"/>
  <c r="E13" i="5" s="1"/>
  <c r="D10" i="5"/>
  <c r="E10" i="5" s="1"/>
  <c r="D9" i="5"/>
  <c r="E9" i="5" s="1"/>
  <c r="E7" i="5"/>
  <c r="D46" i="5" s="1"/>
  <c r="D11" i="5" l="1"/>
  <c r="E11" i="5" s="1"/>
  <c r="E34" i="5"/>
  <c r="E46" i="5"/>
  <c r="F47" i="5" s="1"/>
  <c r="B6" i="2" s="1"/>
  <c r="F57" i="5"/>
  <c r="E14" i="5"/>
  <c r="D25" i="5"/>
  <c r="E25" i="5" s="1"/>
  <c r="D26" i="5"/>
  <c r="E26" i="5" s="1"/>
  <c r="D31" i="5"/>
  <c r="E31" i="5" s="1"/>
  <c r="E22" i="5"/>
  <c r="D28" i="5"/>
  <c r="E28" i="5" s="1"/>
  <c r="B8" i="2" l="1"/>
  <c r="D15" i="5"/>
  <c r="D32" i="5"/>
  <c r="E32" i="5" s="1"/>
  <c r="E35" i="5" s="1"/>
  <c r="D36" i="5" l="1"/>
  <c r="C14" i="4" l="1"/>
  <c r="C11" i="4" l="1"/>
  <c r="C19" i="3"/>
  <c r="C17" i="3"/>
  <c r="C21" i="3" l="1"/>
  <c r="C20" i="3"/>
  <c r="C25" i="4" l="1"/>
  <c r="C21" i="4"/>
  <c r="C24" i="4"/>
  <c r="C22" i="3"/>
  <c r="C29" i="4" l="1"/>
  <c r="C13" i="4"/>
  <c r="C19" i="4" s="1"/>
  <c r="C28" i="4" s="1"/>
  <c r="C30" i="4" s="1"/>
  <c r="C22" i="4"/>
  <c r="C23" i="4" l="1"/>
  <c r="C26" i="4" s="1"/>
  <c r="C31" i="4" s="1"/>
  <c r="C15" i="5" l="1"/>
  <c r="E15" i="5" s="1"/>
  <c r="E16" i="5" s="1"/>
  <c r="D17" i="5" s="1"/>
  <c r="E17" i="5" s="1"/>
  <c r="F18" i="5" s="1"/>
  <c r="B4" i="2" s="1"/>
  <c r="C36" i="5"/>
  <c r="E36" i="5" s="1"/>
  <c r="E37" i="5" s="1"/>
  <c r="D38" i="5" s="1"/>
  <c r="E38" i="5" s="1"/>
  <c r="F39" i="5" s="1"/>
  <c r="F60" i="5" l="1"/>
  <c r="F15" i="8" s="1"/>
  <c r="D19" i="8" s="1"/>
  <c r="E19" i="8" s="1"/>
  <c r="F20" i="8" s="1"/>
  <c r="F22" i="8" s="1"/>
  <c r="B16" i="2" s="1"/>
  <c r="B5" i="2"/>
  <c r="B3" i="2" s="1"/>
  <c r="B17" i="2" l="1"/>
  <c r="C5" i="2" l="1"/>
  <c r="B18" i="2"/>
  <c r="C3" i="2"/>
  <c r="C12" i="2"/>
  <c r="C6" i="2"/>
  <c r="C15" i="2"/>
  <c r="C7" i="2"/>
  <c r="C11" i="2"/>
  <c r="C14" i="2"/>
  <c r="C8" i="2"/>
  <c r="C13" i="2"/>
  <c r="C10" i="2"/>
  <c r="C9" i="2"/>
  <c r="C4" i="2"/>
  <c r="C16" i="2"/>
  <c r="C17" i="2" l="1"/>
</calcChain>
</file>

<file path=xl/comments1.xml><?xml version="1.0" encoding="utf-8"?>
<comments xmlns="http://schemas.openxmlformats.org/spreadsheetml/2006/main">
  <authors>
    <author>Mara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Preencher somente os campos em verde.</t>
        </r>
      </text>
    </comment>
  </commentList>
</comments>
</file>

<file path=xl/comments2.xml><?xml version="1.0" encoding="utf-8"?>
<comments xmlns="http://schemas.openxmlformats.org/spreadsheetml/2006/main">
  <authors>
    <author>Mara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Obrigações obrigatórias por Lei que incidem sobre a folha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Orientação do cálculo na apostila e de acordo com o material do TCE RS 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 xml:space="preserve">Orientação do cálculo na apostila e de acordo com o material do TCE RS 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Orientação do cálculo na apostila e de acordo com o material do TCE RS 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Orientação do cálculo na apostila e de acordo com o material do TCE RS 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Corresponde aos encargos sobre valores pagos aos trabalhadores
como salário em dias em que não há prestação de serviços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Encargos sobre valores pagos aos
empregados, mas que não sofrem incidência direta dos encargos do Grupo A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Corresponde ao percentual de encargos sociais originado da
reincidência de um encargo ou grupo de encargos sobre outro</t>
        </r>
      </text>
    </comment>
  </commentList>
</comments>
</file>

<file path=xl/comments3.xml><?xml version="1.0" encoding="utf-8"?>
<comments xmlns="http://schemas.openxmlformats.org/spreadsheetml/2006/main">
  <authors>
    <author>Mara</author>
    <author>Clauber Bridi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É o percentual referente ao tempo em que os equipamentos, veículos e mão de obra ficam envolvidos com a prestação dos serviços contratados. É calculado em função das horas trabalhadas por semana no cumprimento do contrato.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horas. Ex. 16/44=0,3636 * 100 = 36,36%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Informar o valor do salário Mínimo Nacional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Informar o número de horas extras trabalhadas em horário diurno de segunda a sábado </t>
        </r>
      </text>
    </comment>
    <comment ref="A11" authorId="1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a quantidade de trabalhadores na função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Informar o número de horas extras trabalhadas em horário noturno (das 22:00h as 5h) nos domingos e feriados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32" authorId="1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</t>
        </r>
      </text>
    </comment>
    <comment ref="C36" authorId="1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Informar a quantidade de trabalhadores na função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Informar o valor unitário do VT no município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Informar o número médio de dias trabalhados por mês</t>
        </r>
      </text>
    </comment>
    <comment ref="D46" authorId="1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51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</commentList>
</comments>
</file>

<file path=xl/comments4.xml><?xml version="1.0" encoding="utf-8"?>
<comments xmlns="http://schemas.openxmlformats.org/spreadsheetml/2006/main">
  <authors>
    <author>Mara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 xml:space="preserve">Informar o valor do veículo novo. Admitido a utilização da tabela FIPE
</t>
        </r>
      </text>
    </comment>
    <comment ref="C3" authorId="0">
      <text>
        <r>
          <rPr>
            <sz val="9"/>
            <color indexed="81"/>
            <rFont val="Tahoma"/>
            <family val="2"/>
          </rPr>
          <t>Informar a vida útil estimada para o veículo, em anos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Informar o valor residual estimado</t>
        </r>
      </text>
    </comment>
    <comment ref="C6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Informar a quantidade de veículos do respectivo modelo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Informar a taxa de juros anual para remuneração do capital. Recomenda-se o uso da Taxa SELIC
</t>
        </r>
      </text>
    </comment>
  </commentList>
</comments>
</file>

<file path=xl/comments5.xml><?xml version="1.0" encoding="utf-8"?>
<comments xmlns="http://schemas.openxmlformats.org/spreadsheetml/2006/main">
  <authors>
    <author>Mara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Informar o valor do seguro obrigatório e licenciamento anual do veículo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Apenas quando exigida a contratação no Edital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Informar o valor do seguro contra terceiros de um veículo, se houver previsão no Projeto Básico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Informar a quilometragem mensal percorrida, de acordo com o projeto básico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consumo estimado do veículo em km/l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Informar o preço unitário do combustivel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Informar o consumo de óleo do motor a cada 1000km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Informar o preço unitário do litro do óleo do motor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Informar o preço unitário do litro do óleo da transmissão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Informar o consumo de óleo hidráulico a cada 1000km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Informar o preço unitário do litro do óleo hidráulico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Informar o consumo de graxa a cada 1000km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Informar o preço unitário do litro da graxa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Informar o custo de manutenção em R$/km rodado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Informar a quantidade de pneus novos de 1 veículo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Informar o preço unitário de cada pneu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Informar o número de recapagens por pneu de acordo com Resolução Contran 445/2013.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Informar o preço unitário de cada recapagem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Informar a durabilidade média dos pneus considerando as recapagens, em km</t>
        </r>
      </text>
    </comment>
  </commentList>
</comments>
</file>

<file path=xl/comments6.xml><?xml version="1.0" encoding="utf-8"?>
<comments xmlns="http://schemas.openxmlformats.org/spreadsheetml/2006/main">
  <authors>
    <author>Mara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Não devem incluir IRPJ ou CSLL conforme jurisprudência do TCU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Informar o % de Seguros, Riscos e Garantia estimado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 xml:space="preserve">Informar o % de Lucro estimado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<sst xmlns="http://schemas.openxmlformats.org/spreadsheetml/2006/main" count="365" uniqueCount="225">
  <si>
    <t>unidade</t>
  </si>
  <si>
    <t>R$</t>
  </si>
  <si>
    <t>anos</t>
  </si>
  <si>
    <t>km/l</t>
  </si>
  <si>
    <t>km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</si>
  <si>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</si>
  <si>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</si>
  <si>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</si>
  <si>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</si>
  <si>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</si>
  <si>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</si>
  <si>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</si>
  <si>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</si>
  <si>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</si>
  <si>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</si>
  <si>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</si>
  <si>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>Indicadores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</si>
  <si>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</si>
  <si>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</si>
  <si>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</si>
  <si>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</si>
  <si>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</si>
  <si>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</si>
  <si>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</si>
  <si>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</si>
  <si>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</si>
  <si>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FGTS</t>
  </si>
  <si>
    <t>Multa FGTS</t>
  </si>
  <si>
    <t>Estoque recuperado início do Período 01-12-2018</t>
  </si>
  <si>
    <t>Estoque recuperado final do Período 30-11-2019</t>
  </si>
  <si>
    <t>Variação Emprego Absoluta de 01-12-2018 a 30-11-2019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</si>
  <si>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</si>
  <si>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</si>
  <si>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</si>
  <si>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</si>
  <si>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</si>
  <si>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</si>
  <si>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</si>
  <si>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</si>
  <si>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</si>
  <si>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</si>
  <si>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</si>
  <si>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</si>
  <si>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</si>
  <si>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</si>
  <si>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</si>
  <si>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</si>
  <si>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</si>
  <si>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</si>
  <si>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</si>
  <si>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</si>
  <si>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</si>
  <si>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</si>
  <si>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</si>
  <si>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</si>
  <si>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</si>
  <si>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</si>
  <si>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</si>
  <si>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</si>
  <si>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</si>
  <si>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</si>
  <si>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</si>
  <si>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</si>
  <si>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</si>
  <si>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</si>
  <si>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</si>
  <si>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</si>
  <si>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</si>
  <si>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</si>
  <si>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</si>
  <si>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</si>
  <si>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</si>
  <si>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</si>
  <si>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</si>
  <si>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</si>
  <si>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</si>
  <si>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</si>
  <si>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</si>
  <si>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</si>
  <si>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</si>
  <si>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</si>
  <si>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</si>
  <si>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</si>
  <si>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</si>
  <si>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</si>
  <si>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1. Mão-de-obra</t>
  </si>
  <si>
    <t>Discriminação</t>
  </si>
  <si>
    <t>Unidade</t>
  </si>
  <si>
    <t>Quantidade</t>
  </si>
  <si>
    <t>Custo unitário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</si>
  <si>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</si>
  <si>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</si>
  <si>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mês</t>
  </si>
  <si>
    <t>Horas Extras (100%)</t>
  </si>
  <si>
    <t>hora</t>
  </si>
  <si>
    <t>Horas Extras (50%)</t>
  </si>
  <si>
    <t>Descanso Semanal Remunerado (DSR) - hora extra</t>
  </si>
  <si>
    <t>Adicional de Insalubridade</t>
  </si>
  <si>
    <t>%</t>
  </si>
  <si>
    <t>Soma</t>
  </si>
  <si>
    <t>Encargos Sociais</t>
  </si>
  <si>
    <t>Total do Efetivo</t>
  </si>
  <si>
    <t>homem</t>
  </si>
  <si>
    <t>Fator de utilização</t>
  </si>
  <si>
    <t>Adicional Noturno</t>
  </si>
  <si>
    <t>horas trabalhadas</t>
  </si>
  <si>
    <t>hora contabilizada</t>
  </si>
  <si>
    <t>Horas Extras Noturnas (100%)</t>
  </si>
  <si>
    <t>Horas Extras Noturnas (50%)</t>
  </si>
  <si>
    <t>Piso da categoria (2)</t>
  </si>
  <si>
    <t>Salário mínimo nacional (1)</t>
  </si>
  <si>
    <t>Base de cálculo da Insalubridade</t>
  </si>
  <si>
    <t>Total por Motorista</t>
  </si>
  <si>
    <t>Vale Transporte</t>
  </si>
  <si>
    <t>Dias Trabalhados por mês</t>
  </si>
  <si>
    <t>dia</t>
  </si>
  <si>
    <t>vale</t>
  </si>
  <si>
    <t>Motorista</t>
  </si>
  <si>
    <t>Fator de utilização (FU)</t>
  </si>
  <si>
    <t>Custo do chassis</t>
  </si>
  <si>
    <t>Taxa de juros anual nominal</t>
  </si>
  <si>
    <t>Remuneração mensal de capital do chassis</t>
  </si>
  <si>
    <t>Total por veículo</t>
  </si>
  <si>
    <t>Total da frota</t>
  </si>
  <si>
    <t>*valor do veículo proposto (para veículos usados) devem considerar o valor do bem depreciado até a data da proposta.</t>
  </si>
  <si>
    <t>Valor do veículo proposto (V0)*</t>
  </si>
  <si>
    <t>Vida útil estimada</t>
  </si>
  <si>
    <t>Valor residual</t>
  </si>
  <si>
    <t>% de depreciação</t>
  </si>
  <si>
    <t>Depreciação acumulada</t>
  </si>
  <si>
    <t>Vida útil utilizada (idade do veículo)</t>
  </si>
  <si>
    <t>Dados de Depreciação</t>
  </si>
  <si>
    <t>Investimento médio</t>
  </si>
  <si>
    <t>IPVA</t>
  </si>
  <si>
    <t>Licenciamento e Seguro obrigatório</t>
  </si>
  <si>
    <t>Seguro contra terceiros</t>
  </si>
  <si>
    <t>Impostos e seguros mensais</t>
  </si>
  <si>
    <t>Quilometragem mensal</t>
  </si>
  <si>
    <t>Consumo</t>
  </si>
  <si>
    <t>Custo de óleo diesel / km rodado</t>
  </si>
  <si>
    <t>Custo mensal com óleo diesel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</si>
  <si>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</si>
  <si>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</si>
  <si>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</si>
  <si>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</si>
  <si>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</si>
  <si>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</si>
  <si>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</si>
  <si>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</si>
  <si>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</si>
  <si>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</si>
  <si>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</si>
  <si>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</si>
  <si>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Número de recapagens por pneu</t>
  </si>
  <si>
    <t>Custo de recapagem</t>
  </si>
  <si>
    <t>km/jogo</t>
  </si>
  <si>
    <t>Custo mensal com pneus</t>
  </si>
  <si>
    <t>Custo de manutenção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</si>
  <si>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</si>
  <si>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</si>
  <si>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</si>
  <si>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</si>
  <si>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</si>
  <si>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</si>
  <si>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</si>
  <si>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</si>
  <si>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</si>
  <si>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</si>
  <si>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</si>
  <si>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</si>
  <si>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</si>
  <si>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</si>
  <si>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</si>
  <si>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</si>
  <si>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Custo (R$/mês)</t>
  </si>
  <si>
    <t>Idade do veículo</t>
  </si>
  <si>
    <t>Depreciação do chassis</t>
  </si>
  <si>
    <t>Vida útil</t>
  </si>
  <si>
    <t>Valor do inicial veículo</t>
  </si>
  <si>
    <t>Custo de aquisição (valor inicial)</t>
  </si>
  <si>
    <t>R$/mês</t>
  </si>
  <si>
    <t>CUSTO TOTAL MÃO-DE-OBRA</t>
  </si>
  <si>
    <t>CUSTO TOTAL DE IMPOSTOS E MANUTENÇÃO</t>
  </si>
  <si>
    <t>CUSTO TOTAL MENSAL COM DESPESAS OPERACIONAIS</t>
  </si>
  <si>
    <t>Benefícios e despesas indiretas</t>
  </si>
  <si>
    <t>CUSTO MENSAL COM BDI (R$/mês)</t>
  </si>
  <si>
    <t>Rio Grande do Sul  - Transporte Escolar - CNAE 49248</t>
  </si>
  <si>
    <t>Depreciação mensal veículos</t>
  </si>
  <si>
    <t>1.1. Motorista dia</t>
  </si>
  <si>
    <t>1.2. Motorista noite</t>
  </si>
  <si>
    <t>1.3. Vale transporte</t>
  </si>
  <si>
    <t>1.4. Vale Refeição (diário)</t>
  </si>
  <si>
    <t>1.5. Auxílio alimentção (mensal)</t>
  </si>
  <si>
    <t>2. Veículos</t>
  </si>
  <si>
    <t>2.1. Depreciação</t>
  </si>
  <si>
    <t>2.2. Remuneração de capital</t>
  </si>
  <si>
    <t>2.3. Impostos e seguros</t>
  </si>
  <si>
    <t>2.4. Consumos</t>
  </si>
  <si>
    <t>2.5. Manutenção</t>
  </si>
  <si>
    <t>2.6. Pneus</t>
  </si>
  <si>
    <t>3. BDI</t>
  </si>
  <si>
    <t>PREÇO TOTAL MENSAL (1+2+3)</t>
  </si>
  <si>
    <t>1. CAGED</t>
  </si>
  <si>
    <t>3. Composição da mão-de-obra</t>
  </si>
  <si>
    <t>3.1. Motorista Turno do Dia</t>
  </si>
  <si>
    <t>3.2. Motorista Turno Noite</t>
  </si>
  <si>
    <t>3.3. Vale Transporte</t>
  </si>
  <si>
    <t>3.4. Vale-refeição (diário)</t>
  </si>
  <si>
    <t>3.5. Auxílio Alimentação (mensal)</t>
  </si>
  <si>
    <t>5. Impostos e manutenção</t>
  </si>
  <si>
    <t>5.1. Impostos e Seguros</t>
  </si>
  <si>
    <t>5.2. Consumos</t>
  </si>
  <si>
    <t>5.3. Manutenção preventiva e corretiva</t>
  </si>
  <si>
    <t>5.4. Pneus</t>
  </si>
  <si>
    <t>6. Composição do BDI - Benefícios e Despesas Indiretas</t>
  </si>
  <si>
    <t>6.1. Benefícios e Despesas Indiretas - BDI</t>
  </si>
  <si>
    <t>7. Transporte Escolar - Planilha de composição de custos</t>
  </si>
  <si>
    <t>4. Depreciação e Remuneração de Capital</t>
  </si>
  <si>
    <t>4.1. Depreciação</t>
  </si>
  <si>
    <t>4.2. Remuneração do Capital</t>
  </si>
  <si>
    <t>Custo do jogo de pneus 205/75 R16</t>
  </si>
  <si>
    <r>
      <t>Custo jg. compl. + 1</t>
    </r>
    <r>
      <rPr>
        <sz val="10"/>
        <rFont val="Arial"/>
        <family val="2"/>
      </rPr>
      <t xml:space="preserve"> recap./ km rodado</t>
    </r>
  </si>
  <si>
    <t>Vistoria Bimestral</t>
  </si>
  <si>
    <t>VALOR DIÁRIO (B17/20)</t>
  </si>
  <si>
    <t>LINHA 10 - CANTAGALO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</si>
</sst>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??_-;_-@_-"/>
    <numFmt numFmtId="165" formatCode="_(* #,##0.00_);_(* \(#,##0.00\);_(* &quot;-&quot;??_);_(@_)"/>
    <numFmt numFmtId="166" formatCode="0.0000"/>
    <numFmt numFmtId="167" formatCode="_(* #,##0_);_(* \(#,##0\);_(* &quot;-&quot;??_);_(@_)"/>
    <numFmt numFmtId="168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u/>
      <sz val="1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8" fillId="0" borderId="3" xfId="2" applyFont="1" applyBorder="1"/>
    <xf numFmtId="0" fontId="8" fillId="0" borderId="18" xfId="2" applyFont="1" applyBorder="1"/>
    <xf numFmtId="0" fontId="8" fillId="0" borderId="9" xfId="2" applyFont="1" applyBorder="1"/>
    <xf numFmtId="0" fontId="8" fillId="0" borderId="19" xfId="2" applyFont="1" applyBorder="1"/>
    <xf numFmtId="0" fontId="8" fillId="0" borderId="6" xfId="2" applyFont="1" applyBorder="1"/>
    <xf numFmtId="0" fontId="8" fillId="0" borderId="11" xfId="2" applyFont="1" applyBorder="1"/>
    <xf numFmtId="0" fontId="5" fillId="0" borderId="4" xfId="2" applyFont="1" applyBorder="1"/>
    <xf numFmtId="0" fontId="5" fillId="0" borderId="9" xfId="2" applyFont="1" applyBorder="1"/>
    <xf numFmtId="0" fontId="5" fillId="0" borderId="18" xfId="2" applyFont="1" applyBorder="1"/>
    <xf numFmtId="0" fontId="5" fillId="0" borderId="20" xfId="2" applyFont="1" applyBorder="1"/>
    <xf numFmtId="0" fontId="5" fillId="0" borderId="15" xfId="2" applyFont="1" applyBorder="1"/>
    <xf numFmtId="0" fontId="5" fillId="0" borderId="16" xfId="2" applyFont="1" applyBorder="1"/>
    <xf numFmtId="0" fontId="6" fillId="0" borderId="19" xfId="2" applyFont="1" applyBorder="1"/>
    <xf numFmtId="0" fontId="5" fillId="0" borderId="6" xfId="2" applyFont="1" applyFill="1" applyBorder="1"/>
    <xf numFmtId="166" fontId="6" fillId="0" borderId="6" xfId="2" applyNumberFormat="1" applyFont="1" applyBorder="1"/>
    <xf numFmtId="9" fontId="8" fillId="0" borderId="6" xfId="3" applyFont="1" applyBorder="1"/>
    <xf numFmtId="10" fontId="8" fillId="0" borderId="6" xfId="3" applyNumberFormat="1" applyFont="1" applyBorder="1"/>
    <xf numFmtId="9" fontId="6" fillId="0" borderId="12" xfId="3" applyFont="1" applyBorder="1"/>
    <xf numFmtId="0" fontId="5" fillId="0" borderId="22" xfId="2" applyFont="1" applyBorder="1"/>
    <xf numFmtId="0" fontId="9" fillId="0" borderId="9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10" fontId="9" fillId="0" borderId="6" xfId="2" applyNumberFormat="1" applyFont="1" applyBorder="1" applyAlignment="1">
      <alignment horizontal="right" vertical="center"/>
    </xf>
    <xf numFmtId="10" fontId="10" fillId="0" borderId="6" xfId="2" applyNumberFormat="1" applyFont="1" applyBorder="1" applyAlignment="1">
      <alignment horizontal="right" vertical="center"/>
    </xf>
    <xf numFmtId="0" fontId="9" fillId="2" borderId="9" xfId="2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  <xf numFmtId="10" fontId="10" fillId="2" borderId="6" xfId="2" applyNumberFormat="1" applyFont="1" applyFill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 wrapText="1"/>
    </xf>
    <xf numFmtId="0" fontId="9" fillId="4" borderId="10" xfId="2" applyFont="1" applyFill="1" applyBorder="1" applyAlignment="1">
      <alignment horizontal="left" vertical="center"/>
    </xf>
    <xf numFmtId="0" fontId="10" fillId="4" borderId="13" xfId="2" applyFont="1" applyFill="1" applyBorder="1" applyAlignment="1">
      <alignment horizontal="left" vertical="center"/>
    </xf>
    <xf numFmtId="10" fontId="10" fillId="4" borderId="14" xfId="2" applyNumberFormat="1" applyFont="1" applyFill="1" applyBorder="1" applyAlignment="1">
      <alignment horizontal="right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5" fontId="13" fillId="6" borderId="24" xfId="4" applyFont="1" applyFill="1" applyBorder="1" applyAlignment="1">
      <alignment horizontal="center" vertical="center"/>
    </xf>
    <xf numFmtId="165" fontId="13" fillId="6" borderId="25" xfId="4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65" fontId="4" fillId="0" borderId="26" xfId="4" applyFont="1" applyBorder="1" applyAlignment="1">
      <alignment horizontal="center" vertical="center"/>
    </xf>
    <xf numFmtId="165" fontId="4" fillId="0" borderId="0" xfId="4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4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1" xfId="4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0" xfId="4" applyFont="1" applyAlignment="1">
      <alignment horizontal="center" vertical="center"/>
    </xf>
    <xf numFmtId="165" fontId="12" fillId="0" borderId="27" xfId="4" applyFont="1" applyBorder="1" applyAlignment="1">
      <alignment horizontal="center" vertical="center"/>
    </xf>
    <xf numFmtId="165" fontId="4" fillId="7" borderId="1" xfId="4" applyFont="1" applyFill="1" applyBorder="1" applyAlignment="1">
      <alignment horizontal="center" vertical="center"/>
    </xf>
    <xf numFmtId="165" fontId="4" fillId="0" borderId="0" xfId="4" applyFont="1" applyAlignment="1">
      <alignment horizontal="right" vertical="center"/>
    </xf>
    <xf numFmtId="165" fontId="4" fillId="0" borderId="1" xfId="4" applyFont="1" applyBorder="1" applyAlignment="1">
      <alignment vertical="center"/>
    </xf>
    <xf numFmtId="165" fontId="12" fillId="6" borderId="28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5" fontId="12" fillId="0" borderId="1" xfId="4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5" fontId="12" fillId="0" borderId="29" xfId="4" applyFont="1" applyBorder="1" applyAlignment="1">
      <alignment horizontal="center" vertical="center"/>
    </xf>
    <xf numFmtId="167" fontId="4" fillId="0" borderId="1" xfId="4" applyNumberFormat="1" applyFont="1" applyBorder="1" applyAlignment="1">
      <alignment horizontal="center" vertical="center"/>
    </xf>
    <xf numFmtId="167" fontId="4" fillId="0" borderId="1" xfId="4" applyNumberFormat="1" applyFont="1" applyBorder="1" applyAlignment="1">
      <alignment vertical="center"/>
    </xf>
    <xf numFmtId="165" fontId="12" fillId="6" borderId="30" xfId="4" applyFont="1" applyFill="1" applyBorder="1" applyAlignment="1">
      <alignment vertical="center"/>
    </xf>
    <xf numFmtId="167" fontId="4" fillId="0" borderId="1" xfId="4" applyNumberFormat="1" applyFont="1" applyFill="1" applyBorder="1" applyAlignment="1">
      <alignment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65" fontId="13" fillId="6" borderId="33" xfId="4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5" fontId="4" fillId="0" borderId="0" xfId="4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165" fontId="12" fillId="0" borderId="34" xfId="4" applyFont="1" applyFill="1" applyBorder="1" applyAlignment="1">
      <alignment horizontal="center" vertical="center"/>
    </xf>
    <xf numFmtId="165" fontId="12" fillId="0" borderId="34" xfId="4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2" fillId="6" borderId="30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/>
    <xf numFmtId="165" fontId="12" fillId="0" borderId="0" xfId="4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8" fontId="4" fillId="0" borderId="26" xfId="4" applyNumberFormat="1" applyFont="1" applyBorder="1" applyAlignment="1">
      <alignment horizontal="center" vertical="center"/>
    </xf>
    <xf numFmtId="168" fontId="4" fillId="0" borderId="1" xfId="4" applyNumberFormat="1" applyFont="1" applyBorder="1" applyAlignment="1">
      <alignment horizontal="center" vertical="center"/>
    </xf>
    <xf numFmtId="167" fontId="12" fillId="0" borderId="1" xfId="4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5" fontId="4" fillId="0" borderId="26" xfId="4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9" xfId="3" applyNumberFormat="1" applyFont="1" applyBorder="1" applyAlignment="1">
      <alignment horizontal="right"/>
    </xf>
    <xf numFmtId="10" fontId="5" fillId="0" borderId="1" xfId="3" applyNumberFormat="1" applyFont="1" applyBorder="1" applyAlignment="1">
      <alignment horizontal="right"/>
    </xf>
    <xf numFmtId="10" fontId="5" fillId="0" borderId="6" xfId="3" applyNumberFormat="1" applyFont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6" xfId="3" applyNumberFormat="1" applyFont="1" applyBorder="1"/>
    <xf numFmtId="0" fontId="5" fillId="0" borderId="9" xfId="0" applyFont="1" applyBorder="1" applyAlignment="1">
      <alignment horizontal="right"/>
    </xf>
    <xf numFmtId="0" fontId="5" fillId="0" borderId="6" xfId="0" applyFont="1" applyBorder="1"/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Border="1"/>
    <xf numFmtId="0" fontId="5" fillId="0" borderId="1" xfId="0" applyFont="1" applyBorder="1" applyAlignment="1">
      <alignment horizont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0" fontId="5" fillId="0" borderId="37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/>
    </xf>
    <xf numFmtId="10" fontId="5" fillId="0" borderId="10" xfId="3" applyNumberFormat="1" applyFont="1" applyBorder="1" applyAlignment="1">
      <alignment horizontal="right"/>
    </xf>
    <xf numFmtId="10" fontId="5" fillId="0" borderId="13" xfId="3" applyNumberFormat="1" applyFont="1" applyBorder="1" applyAlignment="1">
      <alignment horizontal="right"/>
    </xf>
    <xf numFmtId="10" fontId="5" fillId="0" borderId="14" xfId="3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165" fontId="4" fillId="8" borderId="26" xfId="4" applyFont="1" applyFill="1" applyBorder="1" applyAlignment="1">
      <alignment horizontal="center" vertical="center"/>
    </xf>
    <xf numFmtId="3" fontId="0" fillId="9" borderId="0" xfId="0" applyNumberFormat="1" applyFont="1" applyFill="1"/>
    <xf numFmtId="0" fontId="4" fillId="8" borderId="1" xfId="0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0" fontId="0" fillId="9" borderId="0" xfId="0" applyFill="1"/>
    <xf numFmtId="165" fontId="4" fillId="8" borderId="1" xfId="4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" fontId="0" fillId="9" borderId="0" xfId="0" applyNumberFormat="1" applyFill="1"/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65" fontId="4" fillId="0" borderId="40" xfId="4" applyFont="1" applyBorder="1" applyAlignment="1">
      <alignment vertical="center"/>
    </xf>
    <xf numFmtId="165" fontId="4" fillId="0" borderId="28" xfId="4" applyFont="1" applyBorder="1" applyAlignment="1">
      <alignment vertical="center"/>
    </xf>
    <xf numFmtId="43" fontId="0" fillId="0" borderId="0" xfId="1" applyFont="1" applyAlignment="1">
      <alignment horizontal="center"/>
    </xf>
    <xf numFmtId="9" fontId="12" fillId="9" borderId="28" xfId="3" applyFont="1" applyFill="1" applyBorder="1" applyAlignment="1">
      <alignment vertical="center"/>
    </xf>
    <xf numFmtId="165" fontId="4" fillId="9" borderId="26" xfId="4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165" fontId="4" fillId="9" borderId="1" xfId="4" applyNumberFormat="1" applyFont="1" applyFill="1" applyBorder="1" applyAlignment="1">
      <alignment horizontal="center" vertical="center"/>
    </xf>
    <xf numFmtId="165" fontId="4" fillId="9" borderId="1" xfId="4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vertical="center"/>
    </xf>
    <xf numFmtId="4" fontId="4" fillId="9" borderId="26" xfId="0" applyNumberFormat="1" applyFont="1" applyFill="1" applyBorder="1" applyAlignment="1">
      <alignment horizontal="center" vertical="center"/>
    </xf>
    <xf numFmtId="168" fontId="4" fillId="9" borderId="26" xfId="4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10" fontId="5" fillId="9" borderId="2" xfId="0" applyNumberFormat="1" applyFont="1" applyFill="1" applyBorder="1" applyAlignment="1">
      <alignment horizontal="center" vertical="center"/>
    </xf>
    <xf numFmtId="10" fontId="5" fillId="9" borderId="6" xfId="0" applyNumberFormat="1" applyFont="1" applyFill="1" applyBorder="1" applyAlignment="1">
      <alignment horizontal="center" vertical="center"/>
    </xf>
    <xf numFmtId="10" fontId="5" fillId="9" borderId="14" xfId="0" applyNumberFormat="1" applyFont="1" applyFill="1" applyBorder="1" applyAlignment="1">
      <alignment horizontal="center" vertical="center"/>
    </xf>
    <xf numFmtId="10" fontId="5" fillId="9" borderId="1" xfId="3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0" fontId="9" fillId="4" borderId="6" xfId="2" applyNumberFormat="1" applyFont="1" applyFill="1" applyBorder="1" applyAlignment="1">
      <alignment horizontal="right" vertical="center"/>
    </xf>
    <xf numFmtId="0" fontId="10" fillId="4" borderId="1" xfId="2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43" fontId="2" fillId="0" borderId="1" xfId="1" applyFont="1" applyBorder="1" applyAlignment="1"/>
    <xf numFmtId="165" fontId="12" fillId="3" borderId="31" xfId="4" applyFont="1" applyFill="1" applyBorder="1" applyAlignment="1">
      <alignment vertical="center"/>
    </xf>
    <xf numFmtId="0" fontId="2" fillId="3" borderId="31" xfId="0" applyFont="1" applyFill="1" applyBorder="1"/>
    <xf numFmtId="0" fontId="2" fillId="3" borderId="40" xfId="0" applyFont="1" applyFill="1" applyBorder="1"/>
    <xf numFmtId="0" fontId="0" fillId="3" borderId="40" xfId="0" applyFill="1" applyBorder="1"/>
    <xf numFmtId="0" fontId="2" fillId="3" borderId="30" xfId="0" applyFont="1" applyFill="1" applyBorder="1"/>
    <xf numFmtId="165" fontId="2" fillId="3" borderId="30" xfId="0" applyNumberFormat="1" applyFont="1" applyFill="1" applyBorder="1"/>
    <xf numFmtId="0" fontId="21" fillId="0" borderId="0" xfId="0" applyFont="1" applyAlignment="1">
      <alignment horizontal="left"/>
    </xf>
    <xf numFmtId="165" fontId="12" fillId="0" borderId="30" xfId="4" applyFont="1" applyBorder="1" applyAlignment="1">
      <alignment vertical="center"/>
    </xf>
    <xf numFmtId="9" fontId="2" fillId="0" borderId="30" xfId="0" applyNumberFormat="1" applyFont="1" applyBorder="1"/>
    <xf numFmtId="165" fontId="12" fillId="0" borderId="0" xfId="4" applyFont="1" applyBorder="1" applyAlignment="1">
      <alignment vertical="center"/>
    </xf>
    <xf numFmtId="9" fontId="2" fillId="0" borderId="0" xfId="0" applyNumberFormat="1" applyFont="1" applyBorder="1"/>
    <xf numFmtId="0" fontId="12" fillId="3" borderId="30" xfId="0" applyFont="1" applyFill="1" applyBorder="1" applyAlignment="1">
      <alignment horizontal="center" vertical="center"/>
    </xf>
    <xf numFmtId="10" fontId="6" fillId="2" borderId="30" xfId="0" applyNumberFormat="1" applyFont="1" applyFill="1" applyBorder="1" applyAlignment="1">
      <alignment horizontal="center" vertical="center" wrapText="1"/>
    </xf>
    <xf numFmtId="43" fontId="2" fillId="3" borderId="30" xfId="1" applyFont="1" applyFill="1" applyBorder="1"/>
    <xf numFmtId="0" fontId="5" fillId="0" borderId="4" xfId="0" applyFont="1" applyBorder="1"/>
    <xf numFmtId="0" fontId="8" fillId="9" borderId="6" xfId="0" applyFont="1" applyFill="1" applyBorder="1"/>
    <xf numFmtId="0" fontId="5" fillId="9" borderId="6" xfId="0" applyFont="1" applyFill="1" applyBorder="1"/>
    <xf numFmtId="0" fontId="5" fillId="9" borderId="19" xfId="0" applyFont="1" applyFill="1" applyBorder="1"/>
    <xf numFmtId="0" fontId="5" fillId="9" borderId="21" xfId="0" applyFont="1" applyFill="1" applyBorder="1"/>
    <xf numFmtId="10" fontId="5" fillId="0" borderId="6" xfId="2" applyNumberFormat="1" applyFont="1" applyBorder="1" applyAlignment="1">
      <alignment horizontal="right" vertical="center"/>
    </xf>
    <xf numFmtId="43" fontId="12" fillId="0" borderId="41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65" fontId="12" fillId="0" borderId="21" xfId="4" applyFont="1" applyBorder="1" applyAlignment="1">
      <alignment horizontal="center" vertical="center"/>
    </xf>
    <xf numFmtId="0" fontId="2" fillId="0" borderId="9" xfId="0" applyFont="1" applyBorder="1"/>
    <xf numFmtId="10" fontId="12" fillId="0" borderId="6" xfId="3" applyNumberFormat="1" applyFont="1" applyBorder="1" applyAlignment="1">
      <alignment vertical="center"/>
    </xf>
    <xf numFmtId="10" fontId="2" fillId="0" borderId="6" xfId="3" applyNumberFormat="1" applyFont="1" applyBorder="1" applyAlignment="1">
      <alignment vertical="center"/>
    </xf>
    <xf numFmtId="0" fontId="2" fillId="0" borderId="10" xfId="0" applyFont="1" applyBorder="1"/>
    <xf numFmtId="165" fontId="12" fillId="0" borderId="35" xfId="4" applyFont="1" applyBorder="1" applyAlignment="1">
      <alignment vertical="center"/>
    </xf>
    <xf numFmtId="0" fontId="0" fillId="0" borderId="36" xfId="0" applyBorder="1"/>
    <xf numFmtId="9" fontId="2" fillId="0" borderId="37" xfId="0" applyNumberFormat="1" applyFont="1" applyBorder="1"/>
    <xf numFmtId="0" fontId="23" fillId="0" borderId="0" xfId="5" applyFont="1" applyAlignment="1" applyProtection="1">
      <alignment horizontal="left" vertical="center"/>
    </xf>
    <xf numFmtId="0" fontId="0" fillId="0" borderId="0" xfId="0" applyFont="1"/>
    <xf numFmtId="43" fontId="2" fillId="0" borderId="27" xfId="1" applyFont="1" applyBorder="1" applyAlignment="1"/>
    <xf numFmtId="10" fontId="12" fillId="0" borderId="19" xfId="3" applyNumberFormat="1" applyFont="1" applyBorder="1" applyAlignment="1">
      <alignment vertical="center"/>
    </xf>
    <xf numFmtId="0" fontId="2" fillId="0" borderId="42" xfId="0" applyFont="1" applyBorder="1"/>
    <xf numFmtId="43" fontId="2" fillId="0" borderId="23" xfId="1" applyFont="1" applyBorder="1" applyAlignment="1">
      <alignment horizontal="center"/>
    </xf>
    <xf numFmtId="164" fontId="2" fillId="0" borderId="25" xfId="1" applyNumberFormat="1" applyFont="1" applyBorder="1"/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4" applyFont="1" applyBorder="1" applyAlignment="1">
      <alignment vertical="center"/>
    </xf>
    <xf numFmtId="165" fontId="4" fillId="0" borderId="16" xfId="4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5" fontId="12" fillId="0" borderId="16" xfId="4" applyFont="1" applyBorder="1" applyAlignment="1">
      <alignment vertical="center"/>
    </xf>
    <xf numFmtId="165" fontId="4" fillId="0" borderId="0" xfId="4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5" fontId="4" fillId="9" borderId="0" xfId="4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165" fontId="12" fillId="0" borderId="16" xfId="4" applyFont="1" applyFill="1" applyBorder="1" applyAlignment="1">
      <alignment vertical="center"/>
    </xf>
    <xf numFmtId="0" fontId="7" fillId="5" borderId="5" xfId="2" applyFont="1" applyFill="1" applyBorder="1" applyAlignment="1">
      <alignment horizontal="center"/>
    </xf>
    <xf numFmtId="0" fontId="7" fillId="5" borderId="17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7" fillId="3" borderId="31" xfId="4" applyFont="1" applyFill="1" applyBorder="1" applyAlignment="1">
      <alignment horizontal="center" vertical="center"/>
    </xf>
    <xf numFmtId="165" fontId="22" fillId="3" borderId="40" xfId="4" applyFont="1" applyFill="1" applyBorder="1" applyAlignment="1">
      <alignment horizontal="center" vertical="center"/>
    </xf>
    <xf numFmtId="165" fontId="22" fillId="3" borderId="28" xfId="4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6">
    <cellStyle name="Hiperlink" xfId="5" builtinId="8"/>
    <cellStyle name="Normal" xfId="0" builtinId="0"/>
    <cellStyle name="Normal 2" xfId="2"/>
    <cellStyle name="Porcentagem 2" xfId="3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opLeftCell="A8" workbookViewId="0">
      <selection activeCell="B1" sqref="B1:C29"/>
    </sheetView>
  </sheetViews>
  <sheetFormatPr defaultRowHeight="15" x14ac:dyDescent="0.25"/>
  <cols>
    <col min="2" max="2" width="73.5703125" bestFit="1" customWidth="1"/>
    <col min="3" max="3" width="17.85546875" customWidth="1"/>
  </cols>
  <sheetData>
    <row r="1" spans="2:3" ht="18" x14ac:dyDescent="0.25">
      <c r="B1" s="204" t="s">
        <v>202</v>
      </c>
      <c r="C1" s="205"/>
    </row>
    <row r="2" spans="2:3" x14ac:dyDescent="0.25">
      <c r="B2" s="4" t="s">
        <v>186</v>
      </c>
      <c r="C2" s="10"/>
    </row>
    <row r="3" spans="2:3" x14ac:dyDescent="0.25">
      <c r="B3" s="5" t="s">
        <v>5</v>
      </c>
      <c r="C3" s="164">
        <v>1932</v>
      </c>
    </row>
    <row r="4" spans="2:3" x14ac:dyDescent="0.25">
      <c r="B4" s="6" t="s">
        <v>6</v>
      </c>
      <c r="C4" s="164">
        <v>2197</v>
      </c>
    </row>
    <row r="5" spans="2:3" x14ac:dyDescent="0.25">
      <c r="B5" s="11" t="s">
        <v>7</v>
      </c>
      <c r="C5" s="165">
        <v>25</v>
      </c>
    </row>
    <row r="6" spans="2:3" x14ac:dyDescent="0.25">
      <c r="B6" s="11" t="s">
        <v>8</v>
      </c>
      <c r="C6" s="165">
        <v>1463</v>
      </c>
    </row>
    <row r="7" spans="2:3" x14ac:dyDescent="0.25">
      <c r="B7" s="11" t="s">
        <v>9</v>
      </c>
      <c r="C7" s="165">
        <v>321</v>
      </c>
    </row>
    <row r="8" spans="2:3" x14ac:dyDescent="0.25">
      <c r="B8" s="11" t="s">
        <v>10</v>
      </c>
      <c r="C8" s="165">
        <v>12</v>
      </c>
    </row>
    <row r="9" spans="2:3" x14ac:dyDescent="0.25">
      <c r="B9" s="11" t="s">
        <v>11</v>
      </c>
      <c r="C9" s="165">
        <v>339</v>
      </c>
    </row>
    <row r="10" spans="2:3" x14ac:dyDescent="0.25">
      <c r="B10" s="11" t="s">
        <v>12</v>
      </c>
      <c r="C10" s="165">
        <v>0</v>
      </c>
    </row>
    <row r="11" spans="2:3" x14ac:dyDescent="0.25">
      <c r="B11" s="11" t="s">
        <v>13</v>
      </c>
      <c r="C11" s="165">
        <v>22</v>
      </c>
    </row>
    <row r="12" spans="2:3" x14ac:dyDescent="0.25">
      <c r="B12" s="12" t="s">
        <v>14</v>
      </c>
      <c r="C12" s="166">
        <v>0</v>
      </c>
    </row>
    <row r="13" spans="2:3" x14ac:dyDescent="0.25">
      <c r="B13" s="22" t="s">
        <v>15</v>
      </c>
      <c r="C13" s="166">
        <v>0</v>
      </c>
    </row>
    <row r="14" spans="2:3" x14ac:dyDescent="0.25">
      <c r="B14" s="4" t="s">
        <v>16</v>
      </c>
      <c r="C14" s="163"/>
    </row>
    <row r="15" spans="2:3" x14ac:dyDescent="0.25">
      <c r="B15" s="13" t="s">
        <v>28</v>
      </c>
      <c r="C15" s="167">
        <v>5183</v>
      </c>
    </row>
    <row r="16" spans="2:3" x14ac:dyDescent="0.25">
      <c r="B16" s="11" t="s">
        <v>29</v>
      </c>
      <c r="C16" s="165">
        <v>4918</v>
      </c>
    </row>
    <row r="17" spans="2:3" x14ac:dyDescent="0.25">
      <c r="B17" s="11" t="s">
        <v>30</v>
      </c>
      <c r="C17" s="17">
        <f>C3-C4</f>
        <v>-265</v>
      </c>
    </row>
    <row r="18" spans="2:3" x14ac:dyDescent="0.25">
      <c r="B18" s="14"/>
      <c r="C18" s="15"/>
    </row>
    <row r="19" spans="2:3" x14ac:dyDescent="0.25">
      <c r="B19" s="5" t="s">
        <v>17</v>
      </c>
      <c r="C19" s="16">
        <f>MEDIAN(C15,C16)</f>
        <v>5050.5</v>
      </c>
    </row>
    <row r="20" spans="2:3" x14ac:dyDescent="0.25">
      <c r="B20" s="6" t="s">
        <v>18</v>
      </c>
      <c r="C20" s="20">
        <f>C6/C19</f>
        <v>0.28967428967428965</v>
      </c>
    </row>
    <row r="21" spans="2:3" x14ac:dyDescent="0.25">
      <c r="B21" s="6" t="s">
        <v>19</v>
      </c>
      <c r="C21" s="20">
        <f>MEDIAN(C3,C4)/C19</f>
        <v>0.40877140877140877</v>
      </c>
    </row>
    <row r="22" spans="2:3" x14ac:dyDescent="0.25">
      <c r="B22" s="6" t="s">
        <v>20</v>
      </c>
      <c r="C22" s="18">
        <f>12/C21</f>
        <v>29.356260595785905</v>
      </c>
    </row>
    <row r="23" spans="2:3" x14ac:dyDescent="0.25">
      <c r="B23" s="6" t="s">
        <v>21</v>
      </c>
      <c r="C23" s="8">
        <v>360</v>
      </c>
    </row>
    <row r="24" spans="2:3" x14ac:dyDescent="0.25">
      <c r="B24" s="6" t="s">
        <v>22</v>
      </c>
      <c r="C24" s="8">
        <v>10</v>
      </c>
    </row>
    <row r="25" spans="2:3" x14ac:dyDescent="0.25">
      <c r="B25" s="5" t="s">
        <v>23</v>
      </c>
      <c r="C25" s="7">
        <v>30</v>
      </c>
    </row>
    <row r="26" spans="2:3" x14ac:dyDescent="0.25">
      <c r="B26" s="5" t="s">
        <v>24</v>
      </c>
      <c r="C26" s="7">
        <v>30</v>
      </c>
    </row>
    <row r="27" spans="2:3" x14ac:dyDescent="0.25">
      <c r="B27" s="5" t="s">
        <v>25</v>
      </c>
      <c r="C27" s="7">
        <v>36</v>
      </c>
    </row>
    <row r="28" spans="2:3" x14ac:dyDescent="0.25">
      <c r="B28" s="6" t="s">
        <v>26</v>
      </c>
      <c r="C28" s="19">
        <v>0.08</v>
      </c>
    </row>
    <row r="29" spans="2:3" ht="15.75" thickBot="1" x14ac:dyDescent="0.3">
      <c r="B29" s="9" t="s">
        <v>27</v>
      </c>
      <c r="C29" s="21">
        <v>0.5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  <pageSetup paperSize="9" scale="91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1"/>
  <sheetViews>
    <sheetView topLeftCell="A11" workbookViewId="0">
      <selection sqref="A1:C31"/>
    </sheetView>
  </sheetViews>
  <sheetFormatPr defaultRowHeight="15" x14ac:dyDescent="0.25"/>
  <cols>
    <col min="1" max="1" width="7.5703125" bestFit="1" customWidth="1"/>
    <col min="2" max="2" width="39.5703125" bestFit="1" customWidth="1"/>
    <col min="3" max="3" width="13.7109375" customWidth="1"/>
  </cols>
  <sheetData>
    <row r="1" spans="1:3" ht="18" x14ac:dyDescent="0.25">
      <c r="A1" s="206" t="s">
        <v>31</v>
      </c>
      <c r="B1" s="207"/>
      <c r="C1" s="208"/>
    </row>
    <row r="2" spans="1:3" x14ac:dyDescent="0.25">
      <c r="A2" s="23" t="s">
        <v>32</v>
      </c>
      <c r="B2" s="24" t="s">
        <v>33</v>
      </c>
      <c r="C2" s="25" t="s">
        <v>34</v>
      </c>
    </row>
    <row r="3" spans="1:3" x14ac:dyDescent="0.25">
      <c r="A3" s="23" t="s">
        <v>35</v>
      </c>
      <c r="B3" s="24" t="s">
        <v>36</v>
      </c>
      <c r="C3" s="26">
        <v>0.2</v>
      </c>
    </row>
    <row r="4" spans="1:3" x14ac:dyDescent="0.25">
      <c r="A4" s="23" t="s">
        <v>37</v>
      </c>
      <c r="B4" s="24" t="s">
        <v>38</v>
      </c>
      <c r="C4" s="26">
        <v>1.4999999999999999E-2</v>
      </c>
    </row>
    <row r="5" spans="1:3" x14ac:dyDescent="0.25">
      <c r="A5" s="23" t="s">
        <v>39</v>
      </c>
      <c r="B5" s="24" t="s">
        <v>40</v>
      </c>
      <c r="C5" s="26">
        <v>0.01</v>
      </c>
    </row>
    <row r="6" spans="1:3" x14ac:dyDescent="0.25">
      <c r="A6" s="23" t="s">
        <v>41</v>
      </c>
      <c r="B6" s="24" t="s">
        <v>42</v>
      </c>
      <c r="C6" s="26">
        <v>2E-3</v>
      </c>
    </row>
    <row r="7" spans="1:3" x14ac:dyDescent="0.25">
      <c r="A7" s="23" t="s">
        <v>43</v>
      </c>
      <c r="B7" s="24" t="s">
        <v>44</v>
      </c>
      <c r="C7" s="26">
        <v>6.0000000000000001E-3</v>
      </c>
    </row>
    <row r="8" spans="1:3" x14ac:dyDescent="0.25">
      <c r="A8" s="23" t="s">
        <v>45</v>
      </c>
      <c r="B8" s="24" t="s">
        <v>46</v>
      </c>
      <c r="C8" s="26">
        <v>2.5000000000000001E-2</v>
      </c>
    </row>
    <row r="9" spans="1:3" x14ac:dyDescent="0.25">
      <c r="A9" s="23" t="s">
        <v>47</v>
      </c>
      <c r="B9" s="24" t="s">
        <v>48</v>
      </c>
      <c r="C9" s="26">
        <v>0.03</v>
      </c>
    </row>
    <row r="10" spans="1:3" x14ac:dyDescent="0.25">
      <c r="A10" s="23" t="s">
        <v>49</v>
      </c>
      <c r="B10" s="24" t="s">
        <v>26</v>
      </c>
      <c r="C10" s="26">
        <v>0.08</v>
      </c>
    </row>
    <row r="11" spans="1:3" x14ac:dyDescent="0.25">
      <c r="A11" s="23" t="s">
        <v>50</v>
      </c>
      <c r="B11" s="146" t="s">
        <v>51</v>
      </c>
      <c r="C11" s="27">
        <f>SUM(C3:C10)</f>
        <v>0.36800000000000005</v>
      </c>
    </row>
    <row r="12" spans="1:3" x14ac:dyDescent="0.25">
      <c r="A12" s="28"/>
      <c r="B12" s="29"/>
      <c r="C12" s="30"/>
    </row>
    <row r="13" spans="1:3" x14ac:dyDescent="0.25">
      <c r="A13" s="23" t="s">
        <v>52</v>
      </c>
      <c r="B13" s="31" t="s">
        <v>53</v>
      </c>
      <c r="C13" s="168">
        <f>ROUND(IF(CAGED!C22&gt;24,(1-12/CAGED!C22)*0.1111,0.1111-C22),4)</f>
        <v>6.5699999999999995E-2</v>
      </c>
    </row>
    <row r="14" spans="1:3" x14ac:dyDescent="0.25">
      <c r="A14" s="23" t="s">
        <v>54</v>
      </c>
      <c r="B14" s="31" t="s">
        <v>55</v>
      </c>
      <c r="C14" s="26">
        <f>ROUND(CAGED!C26/CAGED!C23,4)</f>
        <v>8.3299999999999999E-2</v>
      </c>
    </row>
    <row r="15" spans="1:3" x14ac:dyDescent="0.25">
      <c r="A15" s="23" t="s">
        <v>56</v>
      </c>
      <c r="B15" s="31" t="s">
        <v>57</v>
      </c>
      <c r="C15" s="145">
        <v>5.9999999999999995E-4</v>
      </c>
    </row>
    <row r="16" spans="1:3" x14ac:dyDescent="0.25">
      <c r="A16" s="23" t="s">
        <v>58</v>
      </c>
      <c r="B16" s="31" t="s">
        <v>59</v>
      </c>
      <c r="C16" s="145">
        <v>8.2000000000000007E-3</v>
      </c>
    </row>
    <row r="17" spans="1:3" x14ac:dyDescent="0.25">
      <c r="A17" s="23" t="s">
        <v>60</v>
      </c>
      <c r="B17" s="31" t="s">
        <v>61</v>
      </c>
      <c r="C17" s="145">
        <v>3.0999999999999999E-3</v>
      </c>
    </row>
    <row r="18" spans="1:3" x14ac:dyDescent="0.25">
      <c r="A18" s="23" t="s">
        <v>62</v>
      </c>
      <c r="B18" s="31" t="s">
        <v>63</v>
      </c>
      <c r="C18" s="145">
        <v>1.66E-2</v>
      </c>
    </row>
    <row r="19" spans="1:3" x14ac:dyDescent="0.25">
      <c r="A19" s="23" t="s">
        <v>64</v>
      </c>
      <c r="B19" s="146" t="s">
        <v>65</v>
      </c>
      <c r="C19" s="27">
        <f>SUM(C13:C18)</f>
        <v>0.17749999999999999</v>
      </c>
    </row>
    <row r="20" spans="1:3" x14ac:dyDescent="0.25">
      <c r="A20" s="28"/>
      <c r="B20" s="29"/>
      <c r="C20" s="30"/>
    </row>
    <row r="21" spans="1:3" x14ac:dyDescent="0.25">
      <c r="A21" s="23" t="s">
        <v>66</v>
      </c>
      <c r="B21" s="24" t="s">
        <v>67</v>
      </c>
      <c r="C21" s="26">
        <f>ROUND((CAGED!C27) *CAGED!C20/CAGED!C23,4)</f>
        <v>2.9000000000000001E-2</v>
      </c>
    </row>
    <row r="22" spans="1:3" x14ac:dyDescent="0.25">
      <c r="A22" s="23" t="s">
        <v>68</v>
      </c>
      <c r="B22" s="24" t="s">
        <v>69</v>
      </c>
      <c r="C22" s="26">
        <f>ROUND(IF(CAGED!C22&gt;12,12/CAGED!C22*0.1111,0.1111),4)</f>
        <v>4.5400000000000003E-2</v>
      </c>
    </row>
    <row r="23" spans="1:3" x14ac:dyDescent="0.25">
      <c r="A23" s="23" t="s">
        <v>70</v>
      </c>
      <c r="B23" s="24" t="s">
        <v>71</v>
      </c>
      <c r="C23" s="26">
        <f>C21*C22</f>
        <v>1.3166000000000002E-3</v>
      </c>
    </row>
    <row r="24" spans="1:3" x14ac:dyDescent="0.25">
      <c r="A24" s="23" t="s">
        <v>72</v>
      </c>
      <c r="B24" s="24" t="s">
        <v>73</v>
      </c>
      <c r="C24" s="26">
        <f>ROUND((CAGED!C23+CAGED!C24+CAGED!C26)/CAGED!C21*CAGED!C28*CAGED!C29*CAGED!C20/CAGED!C23,4)</f>
        <v>3.15E-2</v>
      </c>
    </row>
    <row r="25" spans="1:3" x14ac:dyDescent="0.25">
      <c r="A25" s="23" t="s">
        <v>74</v>
      </c>
      <c r="B25" s="24" t="s">
        <v>75</v>
      </c>
      <c r="C25" s="26">
        <f>ROUND((CAGED!C25/CAGED!C23)*CAGED!C20/12,4)</f>
        <v>2E-3</v>
      </c>
    </row>
    <row r="26" spans="1:3" x14ac:dyDescent="0.25">
      <c r="A26" s="23" t="s">
        <v>76</v>
      </c>
      <c r="B26" s="146" t="s">
        <v>77</v>
      </c>
      <c r="C26" s="27">
        <f>SUM(C21:C25)</f>
        <v>0.10921660000000001</v>
      </c>
    </row>
    <row r="27" spans="1:3" x14ac:dyDescent="0.25">
      <c r="A27" s="28"/>
      <c r="B27" s="29"/>
      <c r="C27" s="30"/>
    </row>
    <row r="28" spans="1:3" x14ac:dyDescent="0.25">
      <c r="A28" s="23" t="s">
        <v>78</v>
      </c>
      <c r="B28" s="24" t="s">
        <v>79</v>
      </c>
      <c r="C28" s="26">
        <f>ROUND(C11*C19,4)</f>
        <v>6.5299999999999997E-2</v>
      </c>
    </row>
    <row r="29" spans="1:3" ht="28.5" x14ac:dyDescent="0.25">
      <c r="A29" s="23" t="s">
        <v>80</v>
      </c>
      <c r="B29" s="32" t="s">
        <v>81</v>
      </c>
      <c r="C29" s="26">
        <f>ROUND((C21*C10),4)</f>
        <v>2.3E-3</v>
      </c>
    </row>
    <row r="30" spans="1:3" x14ac:dyDescent="0.25">
      <c r="A30" s="23" t="s">
        <v>82</v>
      </c>
      <c r="B30" s="146" t="s">
        <v>83</v>
      </c>
      <c r="C30" s="27">
        <f>SUM(C28:C29)</f>
        <v>6.7599999999999993E-2</v>
      </c>
    </row>
    <row r="31" spans="1:3" ht="15.75" thickBot="1" x14ac:dyDescent="0.3">
      <c r="A31" s="33"/>
      <c r="B31" s="34" t="s">
        <v>84</v>
      </c>
      <c r="C31" s="35">
        <f>C30+C26+C19+C11</f>
        <v>0.72231660000000009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F60" sqref="A1:F60"/>
    </sheetView>
  </sheetViews>
  <sheetFormatPr defaultRowHeight="15" x14ac:dyDescent="0.25"/>
  <cols>
    <col min="1" max="1" width="44.85546875" bestFit="1" customWidth="1"/>
    <col min="2" max="2" width="16.140625" bestFit="1" customWidth="1"/>
    <col min="3" max="3" width="10.28515625" bestFit="1" customWidth="1"/>
    <col min="4" max="4" width="17.7109375" bestFit="1" customWidth="1"/>
    <col min="5" max="5" width="11.28515625" customWidth="1"/>
    <col min="6" max="6" width="11.42578125" customWidth="1"/>
  </cols>
  <sheetData>
    <row r="1" spans="1:6" ht="15.75" thickBot="1" x14ac:dyDescent="0.3">
      <c r="A1" s="212" t="s">
        <v>224</v>
      </c>
      <c r="B1" s="213"/>
      <c r="C1" s="213"/>
      <c r="D1" s="213"/>
      <c r="E1" s="213"/>
      <c r="F1" s="214"/>
    </row>
    <row r="2" spans="1:6" ht="15.75" thickBot="1" x14ac:dyDescent="0.3">
      <c r="A2" s="149" t="s">
        <v>118</v>
      </c>
      <c r="B2" s="128">
        <v>0.6</v>
      </c>
      <c r="C2" s="186"/>
      <c r="D2" s="186"/>
      <c r="E2" s="186"/>
      <c r="F2" s="187"/>
    </row>
    <row r="3" spans="1:6" ht="15.75" thickBot="1" x14ac:dyDescent="0.3">
      <c r="A3" s="188"/>
      <c r="B3" s="186"/>
      <c r="C3" s="186"/>
      <c r="D3" s="186"/>
      <c r="E3" s="186"/>
      <c r="F3" s="187"/>
    </row>
    <row r="4" spans="1:6" ht="18.75" thickBot="1" x14ac:dyDescent="0.3">
      <c r="A4" s="209" t="s">
        <v>203</v>
      </c>
      <c r="B4" s="210"/>
      <c r="C4" s="210"/>
      <c r="D4" s="210"/>
      <c r="E4" s="210"/>
      <c r="F4" s="211"/>
    </row>
    <row r="5" spans="1:6" ht="15.75" thickBot="1" x14ac:dyDescent="0.3">
      <c r="A5" s="189" t="s">
        <v>204</v>
      </c>
      <c r="B5" s="190"/>
      <c r="C5" s="190"/>
      <c r="D5" s="191"/>
      <c r="E5" s="191"/>
      <c r="F5" s="192"/>
    </row>
    <row r="6" spans="1:6" ht="15.75" thickBot="1" x14ac:dyDescent="0.3">
      <c r="A6" s="36" t="s">
        <v>86</v>
      </c>
      <c r="B6" s="37" t="s">
        <v>87</v>
      </c>
      <c r="C6" s="37" t="s">
        <v>88</v>
      </c>
      <c r="D6" s="38" t="s">
        <v>89</v>
      </c>
      <c r="E6" s="38" t="s">
        <v>90</v>
      </c>
      <c r="F6" s="39" t="s">
        <v>91</v>
      </c>
    </row>
    <row r="7" spans="1:6" x14ac:dyDescent="0.25">
      <c r="A7" s="193" t="s">
        <v>109</v>
      </c>
      <c r="B7" s="41" t="s">
        <v>92</v>
      </c>
      <c r="C7" s="41">
        <v>1</v>
      </c>
      <c r="D7" s="129">
        <v>2402.4</v>
      </c>
      <c r="E7" s="42">
        <f>C7*D7</f>
        <v>2402.4</v>
      </c>
      <c r="F7" s="192"/>
    </row>
    <row r="8" spans="1:6" x14ac:dyDescent="0.25">
      <c r="A8" s="193" t="s">
        <v>110</v>
      </c>
      <c r="B8" s="41" t="s">
        <v>92</v>
      </c>
      <c r="C8" s="41">
        <v>1</v>
      </c>
      <c r="D8" s="129">
        <v>1045</v>
      </c>
      <c r="E8" s="42"/>
      <c r="F8" s="192"/>
    </row>
    <row r="9" spans="1:6" x14ac:dyDescent="0.25">
      <c r="A9" s="194" t="s">
        <v>93</v>
      </c>
      <c r="B9" s="45" t="s">
        <v>94</v>
      </c>
      <c r="C9" s="130">
        <v>0</v>
      </c>
      <c r="D9" s="46">
        <f>D7/220*2</f>
        <v>21.84</v>
      </c>
      <c r="E9" s="46">
        <f>C9*D9</f>
        <v>0</v>
      </c>
      <c r="F9" s="192"/>
    </row>
    <row r="10" spans="1:6" x14ac:dyDescent="0.25">
      <c r="A10" s="194" t="s">
        <v>95</v>
      </c>
      <c r="B10" s="45" t="s">
        <v>94</v>
      </c>
      <c r="C10" s="130">
        <v>0</v>
      </c>
      <c r="D10" s="46">
        <f>D7/220*1.5</f>
        <v>16.38</v>
      </c>
      <c r="E10" s="46">
        <f>C10*D10</f>
        <v>0</v>
      </c>
      <c r="F10" s="192"/>
    </row>
    <row r="11" spans="1:6" x14ac:dyDescent="0.25">
      <c r="A11" s="194" t="s">
        <v>96</v>
      </c>
      <c r="B11" s="45" t="s">
        <v>1</v>
      </c>
      <c r="C11" s="190"/>
      <c r="D11" s="46">
        <f>63/302*(SUM(E9:E10))</f>
        <v>0</v>
      </c>
      <c r="E11" s="46">
        <f>D11</f>
        <v>0</v>
      </c>
      <c r="F11" s="192"/>
    </row>
    <row r="12" spans="1:6" x14ac:dyDescent="0.25">
      <c r="A12" s="194" t="s">
        <v>111</v>
      </c>
      <c r="B12" s="45"/>
      <c r="C12" s="131">
        <v>1</v>
      </c>
      <c r="D12" s="46"/>
      <c r="E12" s="46"/>
      <c r="F12" s="192"/>
    </row>
    <row r="13" spans="1:6" x14ac:dyDescent="0.25">
      <c r="A13" s="194" t="s">
        <v>97</v>
      </c>
      <c r="B13" s="45" t="s">
        <v>98</v>
      </c>
      <c r="C13" s="120">
        <v>20</v>
      </c>
      <c r="D13" s="48">
        <f>IF(C12=2,SUM(E7:E11),IF(C12=1,(SUM(E7:E11))*D8/D7,0))</f>
        <v>1045</v>
      </c>
      <c r="E13" s="46">
        <f>C13*D13/100</f>
        <v>209</v>
      </c>
      <c r="F13" s="192"/>
    </row>
    <row r="14" spans="1:6" x14ac:dyDescent="0.25">
      <c r="A14" s="195" t="s">
        <v>99</v>
      </c>
      <c r="B14" s="196"/>
      <c r="C14" s="196"/>
      <c r="D14" s="81"/>
      <c r="E14" s="58">
        <f>SUM(E7:E13)</f>
        <v>2611.4</v>
      </c>
      <c r="F14" s="197"/>
    </row>
    <row r="15" spans="1:6" x14ac:dyDescent="0.25">
      <c r="A15" s="194" t="s">
        <v>100</v>
      </c>
      <c r="B15" s="45" t="s">
        <v>98</v>
      </c>
      <c r="C15" s="53">
        <f>Encargos!$C$31*100</f>
        <v>72.231660000000005</v>
      </c>
      <c r="D15" s="46">
        <f>E14</f>
        <v>2611.4</v>
      </c>
      <c r="E15" s="46">
        <f>D15*C15/100</f>
        <v>1886.2575692400001</v>
      </c>
      <c r="F15" s="192"/>
    </row>
    <row r="16" spans="1:6" x14ac:dyDescent="0.25">
      <c r="A16" s="195" t="s">
        <v>112</v>
      </c>
      <c r="B16" s="59"/>
      <c r="C16" s="59"/>
      <c r="D16" s="60"/>
      <c r="E16" s="58">
        <f>E14+E15</f>
        <v>4497.6575692400002</v>
      </c>
      <c r="F16" s="197"/>
    </row>
    <row r="17" spans="1:6" ht="15.75" thickBot="1" x14ac:dyDescent="0.3">
      <c r="A17" s="194" t="s">
        <v>101</v>
      </c>
      <c r="B17" s="45" t="s">
        <v>102</v>
      </c>
      <c r="C17" s="120">
        <v>1</v>
      </c>
      <c r="D17" s="46">
        <f>E16</f>
        <v>4497.6575692400002</v>
      </c>
      <c r="E17" s="46">
        <f>C17*D17</f>
        <v>4497.6575692400002</v>
      </c>
      <c r="F17" s="192"/>
    </row>
    <row r="18" spans="1:6" ht="15.75" thickBot="1" x14ac:dyDescent="0.3">
      <c r="A18" s="189"/>
      <c r="B18" s="190"/>
      <c r="C18" s="190"/>
      <c r="D18" s="198" t="s">
        <v>103</v>
      </c>
      <c r="E18" s="55">
        <f>$B$2</f>
        <v>0.6</v>
      </c>
      <c r="F18" s="56">
        <f>E17*E18</f>
        <v>2698.5945415440001</v>
      </c>
    </row>
    <row r="19" spans="1:6" x14ac:dyDescent="0.25">
      <c r="A19" s="189"/>
      <c r="B19" s="190"/>
      <c r="C19" s="190"/>
      <c r="D19" s="191"/>
      <c r="E19" s="191"/>
      <c r="F19" s="192"/>
    </row>
    <row r="20" spans="1:6" ht="15.75" thickBot="1" x14ac:dyDescent="0.3">
      <c r="A20" s="189" t="s">
        <v>205</v>
      </c>
      <c r="B20" s="190"/>
      <c r="C20" s="190"/>
      <c r="D20" s="191"/>
      <c r="E20" s="191"/>
      <c r="F20" s="192"/>
    </row>
    <row r="21" spans="1:6" ht="15.75" thickBot="1" x14ac:dyDescent="0.3">
      <c r="A21" s="36" t="s">
        <v>86</v>
      </c>
      <c r="B21" s="37" t="s">
        <v>87</v>
      </c>
      <c r="C21" s="37" t="s">
        <v>88</v>
      </c>
      <c r="D21" s="38" t="s">
        <v>89</v>
      </c>
      <c r="E21" s="38" t="s">
        <v>90</v>
      </c>
      <c r="F21" s="39" t="s">
        <v>91</v>
      </c>
    </row>
    <row r="22" spans="1:6" x14ac:dyDescent="0.25">
      <c r="A22" s="193" t="s">
        <v>109</v>
      </c>
      <c r="B22" s="41" t="s">
        <v>92</v>
      </c>
      <c r="C22" s="41">
        <v>1</v>
      </c>
      <c r="D22" s="42">
        <f>D7</f>
        <v>2402.4</v>
      </c>
      <c r="E22" s="42">
        <f>C22*D22</f>
        <v>2402.4</v>
      </c>
      <c r="F22" s="192"/>
    </row>
    <row r="23" spans="1:6" x14ac:dyDescent="0.25">
      <c r="A23" s="193" t="s">
        <v>110</v>
      </c>
      <c r="B23" s="41" t="s">
        <v>92</v>
      </c>
      <c r="C23" s="41">
        <v>1</v>
      </c>
      <c r="D23" s="46">
        <f>D8</f>
        <v>1045</v>
      </c>
      <c r="E23" s="46"/>
      <c r="F23" s="192"/>
    </row>
    <row r="24" spans="1:6" x14ac:dyDescent="0.25">
      <c r="A24" s="194" t="s">
        <v>104</v>
      </c>
      <c r="B24" s="45" t="s">
        <v>105</v>
      </c>
      <c r="C24" s="130"/>
      <c r="D24" s="44"/>
      <c r="E24" s="44"/>
      <c r="F24" s="192"/>
    </row>
    <row r="25" spans="1:6" x14ac:dyDescent="0.25">
      <c r="A25" s="194"/>
      <c r="B25" s="45" t="s">
        <v>106</v>
      </c>
      <c r="C25" s="46">
        <f>C24*8/7</f>
        <v>0</v>
      </c>
      <c r="D25" s="46">
        <f>D22/220*0.2</f>
        <v>2.1840000000000002</v>
      </c>
      <c r="E25" s="46">
        <f>C24*D25</f>
        <v>0</v>
      </c>
      <c r="F25" s="192"/>
    </row>
    <row r="26" spans="1:6" x14ac:dyDescent="0.25">
      <c r="A26" s="194" t="s">
        <v>93</v>
      </c>
      <c r="B26" s="45" t="s">
        <v>94</v>
      </c>
      <c r="C26" s="130"/>
      <c r="D26" s="46">
        <f>D22/220*2</f>
        <v>21.84</v>
      </c>
      <c r="E26" s="46">
        <f>C26*D26</f>
        <v>0</v>
      </c>
      <c r="F26" s="192"/>
    </row>
    <row r="27" spans="1:6" x14ac:dyDescent="0.25">
      <c r="A27" s="194" t="s">
        <v>107</v>
      </c>
      <c r="B27" s="45" t="s">
        <v>105</v>
      </c>
      <c r="C27" s="130"/>
      <c r="D27" s="46"/>
      <c r="E27" s="46"/>
      <c r="F27" s="192"/>
    </row>
    <row r="28" spans="1:6" x14ac:dyDescent="0.25">
      <c r="A28" s="194"/>
      <c r="B28" s="45" t="s">
        <v>106</v>
      </c>
      <c r="C28" s="46">
        <f>C27*8/7</f>
        <v>0</v>
      </c>
      <c r="D28" s="46">
        <f>D22/220*2*1.2</f>
        <v>26.207999999999998</v>
      </c>
      <c r="E28" s="46">
        <f>C28*D28</f>
        <v>0</v>
      </c>
      <c r="F28" s="192"/>
    </row>
    <row r="29" spans="1:6" x14ac:dyDescent="0.25">
      <c r="A29" s="194" t="s">
        <v>95</v>
      </c>
      <c r="B29" s="45" t="s">
        <v>94</v>
      </c>
      <c r="C29" s="130"/>
      <c r="D29" s="46">
        <f>D22/220*1.5</f>
        <v>16.38</v>
      </c>
      <c r="E29" s="46">
        <f>C29*D29</f>
        <v>0</v>
      </c>
      <c r="F29" s="192"/>
    </row>
    <row r="30" spans="1:6" x14ac:dyDescent="0.25">
      <c r="A30" s="194" t="s">
        <v>108</v>
      </c>
      <c r="B30" s="45" t="s">
        <v>105</v>
      </c>
      <c r="C30" s="130"/>
      <c r="D30" s="46"/>
      <c r="E30" s="46"/>
      <c r="F30" s="192"/>
    </row>
    <row r="31" spans="1:6" x14ac:dyDescent="0.25">
      <c r="A31" s="194"/>
      <c r="B31" s="45" t="s">
        <v>106</v>
      </c>
      <c r="C31" s="46">
        <f>C30*8/7</f>
        <v>0</v>
      </c>
      <c r="D31" s="46">
        <f>D22/220*1.5*1.2</f>
        <v>19.655999999999999</v>
      </c>
      <c r="E31" s="46">
        <f>C31*D31</f>
        <v>0</v>
      </c>
      <c r="F31" s="192"/>
    </row>
    <row r="32" spans="1:6" x14ac:dyDescent="0.25">
      <c r="A32" s="194" t="s">
        <v>96</v>
      </c>
      <c r="B32" s="45" t="s">
        <v>1</v>
      </c>
      <c r="C32" s="190"/>
      <c r="D32" s="46">
        <f>63/302*(SUM(E26:E31))</f>
        <v>0</v>
      </c>
      <c r="E32" s="46">
        <f>D32</f>
        <v>0</v>
      </c>
      <c r="F32" s="192"/>
    </row>
    <row r="33" spans="1:6" x14ac:dyDescent="0.25">
      <c r="A33" s="194" t="s">
        <v>111</v>
      </c>
      <c r="B33" s="45"/>
      <c r="C33" s="131"/>
      <c r="D33" s="46"/>
      <c r="E33" s="46"/>
      <c r="F33" s="192"/>
    </row>
    <row r="34" spans="1:6" x14ac:dyDescent="0.25">
      <c r="A34" s="194" t="s">
        <v>97</v>
      </c>
      <c r="B34" s="45" t="s">
        <v>98</v>
      </c>
      <c r="C34" s="48">
        <f>+C13</f>
        <v>20</v>
      </c>
      <c r="D34" s="48">
        <f>IF(C33=2,SUM(E22:E32),IF(C33=1,SUM(E22:E32)*D23/D22,0))</f>
        <v>0</v>
      </c>
      <c r="E34" s="46">
        <f>C34*D34/100</f>
        <v>0</v>
      </c>
      <c r="F34" s="192"/>
    </row>
    <row r="35" spans="1:6" x14ac:dyDescent="0.25">
      <c r="A35" s="199" t="s">
        <v>99</v>
      </c>
      <c r="B35" s="196"/>
      <c r="C35" s="196"/>
      <c r="D35" s="81"/>
      <c r="E35" s="52">
        <f>SUM(E22:E34)</f>
        <v>2402.4</v>
      </c>
      <c r="F35" s="197"/>
    </row>
    <row r="36" spans="1:6" x14ac:dyDescent="0.25">
      <c r="A36" s="194" t="s">
        <v>100</v>
      </c>
      <c r="B36" s="45" t="s">
        <v>98</v>
      </c>
      <c r="C36" s="53">
        <f>Encargos!$C$31*100</f>
        <v>72.231660000000005</v>
      </c>
      <c r="D36" s="46">
        <f>E35</f>
        <v>2402.4</v>
      </c>
      <c r="E36" s="46">
        <f>D36*C36/100</f>
        <v>1735.2933998400001</v>
      </c>
      <c r="F36" s="192"/>
    </row>
    <row r="37" spans="1:6" x14ac:dyDescent="0.25">
      <c r="A37" s="199" t="s">
        <v>112</v>
      </c>
      <c r="B37" s="196"/>
      <c r="C37" s="196"/>
      <c r="D37" s="81"/>
      <c r="E37" s="52">
        <f>E35+E36</f>
        <v>4137.69339984</v>
      </c>
      <c r="F37" s="197"/>
    </row>
    <row r="38" spans="1:6" ht="15.75" thickBot="1" x14ac:dyDescent="0.3">
      <c r="A38" s="194" t="s">
        <v>101</v>
      </c>
      <c r="B38" s="45" t="s">
        <v>102</v>
      </c>
      <c r="C38" s="120">
        <v>0</v>
      </c>
      <c r="D38" s="46">
        <f>E37</f>
        <v>4137.69339984</v>
      </c>
      <c r="E38" s="46">
        <f>C38*D38</f>
        <v>0</v>
      </c>
      <c r="F38" s="192"/>
    </row>
    <row r="39" spans="1:6" ht="15.75" thickBot="1" x14ac:dyDescent="0.3">
      <c r="A39" s="189"/>
      <c r="B39" s="190"/>
      <c r="C39" s="190"/>
      <c r="D39" s="198" t="s">
        <v>103</v>
      </c>
      <c r="E39" s="55">
        <f>$B$2</f>
        <v>0.6</v>
      </c>
      <c r="F39" s="56">
        <f>E38*E39</f>
        <v>0</v>
      </c>
    </row>
    <row r="40" spans="1:6" x14ac:dyDescent="0.25">
      <c r="A40" s="188"/>
      <c r="B40" s="186"/>
      <c r="C40" s="186"/>
      <c r="D40" s="186"/>
      <c r="E40" s="186"/>
      <c r="F40" s="187"/>
    </row>
    <row r="41" spans="1:6" x14ac:dyDescent="0.25">
      <c r="A41" s="188"/>
      <c r="B41" s="186"/>
      <c r="C41" s="186"/>
      <c r="D41" s="186"/>
      <c r="E41" s="186"/>
      <c r="F41" s="187"/>
    </row>
    <row r="42" spans="1:6" ht="15.75" thickBot="1" x14ac:dyDescent="0.3">
      <c r="A42" s="189" t="s">
        <v>206</v>
      </c>
      <c r="B42" s="200"/>
      <c r="C42" s="190"/>
      <c r="D42" s="190"/>
      <c r="E42" s="190"/>
      <c r="F42" s="192"/>
    </row>
    <row r="43" spans="1:6" ht="15.75" thickBot="1" x14ac:dyDescent="0.3">
      <c r="A43" s="36" t="s">
        <v>86</v>
      </c>
      <c r="B43" s="37" t="s">
        <v>87</v>
      </c>
      <c r="C43" s="37" t="s">
        <v>88</v>
      </c>
      <c r="D43" s="38" t="s">
        <v>89</v>
      </c>
      <c r="E43" s="38" t="s">
        <v>90</v>
      </c>
      <c r="F43" s="39" t="s">
        <v>91</v>
      </c>
    </row>
    <row r="44" spans="1:6" x14ac:dyDescent="0.25">
      <c r="A44" s="194" t="s">
        <v>113</v>
      </c>
      <c r="B44" s="45" t="s">
        <v>1</v>
      </c>
      <c r="C44" s="61">
        <v>1</v>
      </c>
      <c r="D44" s="201">
        <v>3.5</v>
      </c>
      <c r="E44" s="46"/>
      <c r="F44" s="192"/>
    </row>
    <row r="45" spans="1:6" x14ac:dyDescent="0.25">
      <c r="A45" s="194" t="s">
        <v>114</v>
      </c>
      <c r="B45" s="45" t="s">
        <v>115</v>
      </c>
      <c r="C45" s="202">
        <v>22</v>
      </c>
      <c r="D45" s="46"/>
      <c r="E45" s="46"/>
      <c r="F45" s="192"/>
    </row>
    <row r="46" spans="1:6" ht="15.75" thickBot="1" x14ac:dyDescent="0.3">
      <c r="A46" s="193" t="s">
        <v>117</v>
      </c>
      <c r="B46" s="41" t="s">
        <v>116</v>
      </c>
      <c r="C46" s="62">
        <f>$C45*2*(C38+C17)</f>
        <v>44</v>
      </c>
      <c r="D46" s="42">
        <f>IFERROR((($C$45*2*$D$44)-(E7*0.06*C45/26))/($C$45*2),"-")</f>
        <v>0.72799999999999987</v>
      </c>
      <c r="E46" s="42">
        <f>IFERROR(C46*D46,"-")</f>
        <v>32.031999999999996</v>
      </c>
      <c r="F46" s="192"/>
    </row>
    <row r="47" spans="1:6" ht="15.75" thickBot="1" x14ac:dyDescent="0.3">
      <c r="A47" s="189"/>
      <c r="B47" s="190"/>
      <c r="C47" s="190"/>
      <c r="D47" s="191"/>
      <c r="E47" s="191"/>
      <c r="F47" s="63">
        <f>SUM(E46:E46)</f>
        <v>32.031999999999996</v>
      </c>
    </row>
    <row r="48" spans="1:6" x14ac:dyDescent="0.25">
      <c r="A48" s="189"/>
      <c r="B48" s="190"/>
      <c r="C48" s="190"/>
      <c r="D48" s="191"/>
      <c r="E48" s="191"/>
      <c r="F48" s="192"/>
    </row>
    <row r="49" spans="1:6" ht="15.75" thickBot="1" x14ac:dyDescent="0.3">
      <c r="A49" s="189" t="s">
        <v>207</v>
      </c>
      <c r="B49" s="190"/>
      <c r="C49" s="190"/>
      <c r="D49" s="191"/>
      <c r="E49" s="191"/>
      <c r="F49" s="203"/>
    </row>
    <row r="50" spans="1:6" ht="15.75" thickBot="1" x14ac:dyDescent="0.3">
      <c r="A50" s="36" t="s">
        <v>86</v>
      </c>
      <c r="B50" s="37" t="s">
        <v>87</v>
      </c>
      <c r="C50" s="37" t="s">
        <v>88</v>
      </c>
      <c r="D50" s="38" t="s">
        <v>89</v>
      </c>
      <c r="E50" s="38" t="s">
        <v>90</v>
      </c>
      <c r="F50" s="39" t="s">
        <v>91</v>
      </c>
    </row>
    <row r="51" spans="1:6" ht="15.75" thickBot="1" x14ac:dyDescent="0.3">
      <c r="A51" s="194" t="str">
        <f>+A46</f>
        <v>Motorista</v>
      </c>
      <c r="B51" s="45" t="s">
        <v>0</v>
      </c>
      <c r="C51" s="64">
        <f>C45*(C38+C17)</f>
        <v>22</v>
      </c>
      <c r="D51" s="132">
        <v>15</v>
      </c>
      <c r="E51" s="55">
        <f>C51*D51</f>
        <v>330</v>
      </c>
      <c r="F51" s="203"/>
    </row>
    <row r="52" spans="1:6" ht="15.75" thickBot="1" x14ac:dyDescent="0.3">
      <c r="A52" s="189"/>
      <c r="B52" s="190"/>
      <c r="C52" s="190"/>
      <c r="D52" s="191"/>
      <c r="E52" s="191"/>
      <c r="F52" s="63">
        <f>SUM(E51:E51)</f>
        <v>330</v>
      </c>
    </row>
    <row r="53" spans="1:6" x14ac:dyDescent="0.25">
      <c r="A53" s="189"/>
      <c r="B53" s="190"/>
      <c r="C53" s="190"/>
      <c r="D53" s="191"/>
      <c r="E53" s="191"/>
      <c r="F53" s="192"/>
    </row>
    <row r="54" spans="1:6" ht="15.75" thickBot="1" x14ac:dyDescent="0.3">
      <c r="A54" s="189" t="s">
        <v>208</v>
      </c>
      <c r="B54" s="190"/>
      <c r="C54" s="190"/>
      <c r="D54" s="191"/>
      <c r="E54" s="191"/>
      <c r="F54" s="203"/>
    </row>
    <row r="55" spans="1:6" ht="15.75" thickBot="1" x14ac:dyDescent="0.3">
      <c r="A55" s="36" t="s">
        <v>86</v>
      </c>
      <c r="B55" s="37" t="s">
        <v>87</v>
      </c>
      <c r="C55" s="37" t="s">
        <v>88</v>
      </c>
      <c r="D55" s="38" t="s">
        <v>89</v>
      </c>
      <c r="E55" s="38" t="s">
        <v>90</v>
      </c>
      <c r="F55" s="39" t="s">
        <v>91</v>
      </c>
    </row>
    <row r="56" spans="1:6" ht="15.75" thickBot="1" x14ac:dyDescent="0.3">
      <c r="A56" s="194" t="str">
        <f>+A51</f>
        <v>Motorista</v>
      </c>
      <c r="B56" s="45" t="s">
        <v>0</v>
      </c>
      <c r="C56" s="64">
        <f>C17+C38</f>
        <v>1</v>
      </c>
      <c r="D56" s="132">
        <v>200</v>
      </c>
      <c r="E56" s="55">
        <f>C56*D56</f>
        <v>200</v>
      </c>
      <c r="F56" s="203"/>
    </row>
    <row r="57" spans="1:6" ht="15.75" thickBot="1" x14ac:dyDescent="0.3">
      <c r="A57" s="189"/>
      <c r="B57" s="190"/>
      <c r="C57" s="190"/>
      <c r="D57" s="198" t="s">
        <v>103</v>
      </c>
      <c r="E57" s="55">
        <f>$B$2</f>
        <v>0.6</v>
      </c>
      <c r="F57" s="63">
        <f>SUM(E56:E56)*E57</f>
        <v>120</v>
      </c>
    </row>
    <row r="58" spans="1:6" x14ac:dyDescent="0.25">
      <c r="A58" s="188"/>
      <c r="B58" s="186"/>
      <c r="C58" s="186"/>
      <c r="D58" s="186"/>
      <c r="E58" s="186"/>
      <c r="F58" s="187"/>
    </row>
    <row r="59" spans="1:6" ht="15.75" thickBot="1" x14ac:dyDescent="0.3">
      <c r="A59" s="188"/>
      <c r="B59" s="186"/>
      <c r="C59" s="186"/>
      <c r="D59" s="186"/>
      <c r="E59" s="186"/>
      <c r="F59" s="187"/>
    </row>
    <row r="60" spans="1:6" ht="15.75" thickBot="1" x14ac:dyDescent="0.3">
      <c r="A60" s="153" t="s">
        <v>181</v>
      </c>
      <c r="B60" s="153" t="s">
        <v>180</v>
      </c>
      <c r="C60" s="152"/>
      <c r="D60" s="152"/>
      <c r="E60" s="152"/>
      <c r="F60" s="154">
        <f>F57+F52+F47+F39+F18</f>
        <v>3180.6265415440002</v>
      </c>
    </row>
  </sheetData>
  <mergeCells count="2">
    <mergeCell ref="A4:F4"/>
    <mergeCell ref="A1:F1"/>
  </mergeCells>
  <pageMargins left="0.511811024" right="0.511811024" top="0.78740157499999996" bottom="0.78740157499999996" header="0.31496062000000002" footer="0.31496062000000002"/>
  <pageSetup paperSize="9" scale="81" orientation="portrait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F35" sqref="A1:F35"/>
    </sheetView>
  </sheetViews>
  <sheetFormatPr defaultRowHeight="15" x14ac:dyDescent="0.25"/>
  <cols>
    <col min="1" max="1" width="47" bestFit="1" customWidth="1"/>
    <col min="2" max="2" width="8.42578125" bestFit="1" customWidth="1"/>
    <col min="3" max="3" width="12.85546875" bestFit="1" customWidth="1"/>
    <col min="4" max="4" width="17.7109375" bestFit="1" customWidth="1"/>
    <col min="5" max="5" width="11.28515625" bestFit="1" customWidth="1"/>
    <col min="6" max="6" width="9.85546875" bestFit="1" customWidth="1"/>
  </cols>
  <sheetData>
    <row r="1" spans="1:6" x14ac:dyDescent="0.25">
      <c r="A1" s="155" t="s">
        <v>131</v>
      </c>
    </row>
    <row r="2" spans="1:6" x14ac:dyDescent="0.25">
      <c r="A2" t="s">
        <v>178</v>
      </c>
      <c r="B2" s="79" t="s">
        <v>1</v>
      </c>
      <c r="C2" s="121">
        <v>121201</v>
      </c>
    </row>
    <row r="3" spans="1:6" x14ac:dyDescent="0.25">
      <c r="A3" t="s">
        <v>126</v>
      </c>
      <c r="B3" s="79" t="s">
        <v>2</v>
      </c>
      <c r="C3" s="115">
        <v>20</v>
      </c>
    </row>
    <row r="4" spans="1:6" x14ac:dyDescent="0.25">
      <c r="A4" t="s">
        <v>128</v>
      </c>
      <c r="B4" s="79" t="s">
        <v>98</v>
      </c>
      <c r="C4" s="1">
        <v>20</v>
      </c>
    </row>
    <row r="5" spans="1:6" x14ac:dyDescent="0.25">
      <c r="A5" t="s">
        <v>127</v>
      </c>
      <c r="B5" s="79" t="s">
        <v>1</v>
      </c>
      <c r="C5" s="121">
        <v>23000</v>
      </c>
    </row>
    <row r="6" spans="1:6" x14ac:dyDescent="0.25">
      <c r="A6" t="s">
        <v>130</v>
      </c>
      <c r="B6" s="79" t="s">
        <v>2</v>
      </c>
      <c r="C6" s="118">
        <v>0</v>
      </c>
    </row>
    <row r="7" spans="1:6" ht="15.75" thickBot="1" x14ac:dyDescent="0.3">
      <c r="A7" t="s">
        <v>129</v>
      </c>
      <c r="B7" s="79" t="s">
        <v>1</v>
      </c>
      <c r="C7" s="2">
        <f>((C2-C5)*(C4%*C6))</f>
        <v>0</v>
      </c>
    </row>
    <row r="8" spans="1:6" ht="15.75" thickBot="1" x14ac:dyDescent="0.3">
      <c r="A8" s="176" t="s">
        <v>118</v>
      </c>
      <c r="B8" s="177"/>
      <c r="C8" s="178">
        <f>'Mão de obra'!B2</f>
        <v>0.6</v>
      </c>
    </row>
    <row r="9" spans="1:6" ht="18.75" thickBot="1" x14ac:dyDescent="0.3">
      <c r="A9" s="209" t="s">
        <v>217</v>
      </c>
      <c r="B9" s="210"/>
      <c r="C9" s="210"/>
      <c r="D9" s="210"/>
      <c r="E9" s="210"/>
      <c r="F9" s="211"/>
    </row>
    <row r="10" spans="1:6" ht="15.75" thickBot="1" x14ac:dyDescent="0.3">
      <c r="A10" s="179" t="s">
        <v>218</v>
      </c>
      <c r="B10" s="47"/>
      <c r="C10" s="47"/>
      <c r="D10" s="43"/>
      <c r="E10" s="43"/>
      <c r="F10" s="43"/>
    </row>
    <row r="11" spans="1:6" ht="15.75" thickBot="1" x14ac:dyDescent="0.3">
      <c r="A11" s="36" t="s">
        <v>86</v>
      </c>
      <c r="B11" s="37" t="s">
        <v>87</v>
      </c>
      <c r="C11" s="37" t="s">
        <v>88</v>
      </c>
      <c r="D11" s="38" t="s">
        <v>89</v>
      </c>
      <c r="E11" s="38" t="s">
        <v>90</v>
      </c>
      <c r="F11" s="39" t="s">
        <v>91</v>
      </c>
    </row>
    <row r="12" spans="1:6" x14ac:dyDescent="0.25">
      <c r="A12" s="40" t="s">
        <v>179</v>
      </c>
      <c r="B12" s="41" t="s">
        <v>0</v>
      </c>
      <c r="C12" s="68">
        <v>1</v>
      </c>
      <c r="D12" s="114">
        <f>C2</f>
        <v>121201</v>
      </c>
      <c r="E12" s="42">
        <f>C12*D12</f>
        <v>121201</v>
      </c>
      <c r="F12" s="43"/>
    </row>
    <row r="13" spans="1:6" x14ac:dyDescent="0.25">
      <c r="A13" s="44" t="s">
        <v>177</v>
      </c>
      <c r="B13" s="45" t="s">
        <v>2</v>
      </c>
      <c r="C13" s="117">
        <f>C3</f>
        <v>20</v>
      </c>
      <c r="D13" s="48"/>
      <c r="E13" s="46"/>
      <c r="F13" s="43"/>
    </row>
    <row r="14" spans="1:6" x14ac:dyDescent="0.25">
      <c r="A14" s="44" t="s">
        <v>175</v>
      </c>
      <c r="B14" s="45" t="s">
        <v>2</v>
      </c>
      <c r="C14" s="116">
        <f>C6</f>
        <v>0</v>
      </c>
      <c r="D14" s="46"/>
      <c r="E14" s="46"/>
      <c r="F14" s="69"/>
    </row>
    <row r="15" spans="1:6" x14ac:dyDescent="0.25">
      <c r="A15" s="44" t="s">
        <v>176</v>
      </c>
      <c r="B15" s="45" t="s">
        <v>98</v>
      </c>
      <c r="C15" s="119">
        <v>100</v>
      </c>
      <c r="D15" s="46">
        <f>E12</f>
        <v>121201</v>
      </c>
      <c r="E15" s="46">
        <f>C15*(D15-C5)/100</f>
        <v>98201</v>
      </c>
      <c r="F15" s="43"/>
    </row>
    <row r="16" spans="1:6" ht="15.75" thickBot="1" x14ac:dyDescent="0.3">
      <c r="A16" s="71" t="s">
        <v>187</v>
      </c>
      <c r="B16" s="72" t="s">
        <v>92</v>
      </c>
      <c r="C16" s="72">
        <f>C13*12</f>
        <v>240</v>
      </c>
      <c r="D16" s="74">
        <f>IF(C14&lt;=C13,E15,0)</f>
        <v>98201</v>
      </c>
      <c r="E16" s="74">
        <f>IFERROR(D16/C16,0)</f>
        <v>409.17083333333335</v>
      </c>
      <c r="F16" s="43"/>
    </row>
    <row r="17" spans="1:6" ht="15.75" thickTop="1" x14ac:dyDescent="0.25">
      <c r="A17" s="49" t="s">
        <v>122</v>
      </c>
      <c r="B17" s="50"/>
      <c r="C17" s="50"/>
      <c r="D17" s="51"/>
      <c r="E17" s="52">
        <f>E16</f>
        <v>409.17083333333335</v>
      </c>
      <c r="F17" s="43"/>
    </row>
    <row r="18" spans="1:6" ht="15.75" thickBot="1" x14ac:dyDescent="0.3">
      <c r="A18" s="57" t="s">
        <v>123</v>
      </c>
      <c r="B18" s="76" t="s">
        <v>0</v>
      </c>
      <c r="C18" s="120">
        <v>1</v>
      </c>
      <c r="D18" s="58">
        <f>E17</f>
        <v>409.17083333333335</v>
      </c>
      <c r="E18" s="52">
        <f>C18*D18</f>
        <v>409.17083333333335</v>
      </c>
      <c r="F18" s="43"/>
    </row>
    <row r="19" spans="1:6" ht="15.75" thickBot="1" x14ac:dyDescent="0.3">
      <c r="A19" s="113"/>
      <c r="B19" s="113"/>
      <c r="C19" s="113"/>
      <c r="D19" s="54" t="s">
        <v>103</v>
      </c>
      <c r="E19" s="55">
        <f>C8</f>
        <v>0.6</v>
      </c>
      <c r="F19" s="78">
        <f>E18*E19</f>
        <v>245.5025</v>
      </c>
    </row>
    <row r="20" spans="1:6" x14ac:dyDescent="0.25">
      <c r="C20" s="80"/>
      <c r="F20" s="43"/>
    </row>
    <row r="21" spans="1:6" x14ac:dyDescent="0.25">
      <c r="C21" s="80"/>
      <c r="F21" s="43"/>
    </row>
    <row r="22" spans="1:6" x14ac:dyDescent="0.25">
      <c r="F22" s="43"/>
    </row>
    <row r="23" spans="1:6" ht="15.75" thickBot="1" x14ac:dyDescent="0.3">
      <c r="A23" s="179" t="s">
        <v>219</v>
      </c>
      <c r="B23" s="47"/>
      <c r="C23" s="47"/>
      <c r="D23" s="43"/>
      <c r="E23" s="43"/>
      <c r="F23" s="43"/>
    </row>
    <row r="24" spans="1:6" ht="15.75" thickBot="1" x14ac:dyDescent="0.3">
      <c r="A24" s="65" t="s">
        <v>86</v>
      </c>
      <c r="B24" s="66" t="s">
        <v>87</v>
      </c>
      <c r="C24" s="66" t="s">
        <v>88</v>
      </c>
      <c r="D24" s="38" t="s">
        <v>89</v>
      </c>
      <c r="E24" s="67" t="s">
        <v>90</v>
      </c>
      <c r="F24" s="39" t="s">
        <v>91</v>
      </c>
    </row>
    <row r="25" spans="1:6" x14ac:dyDescent="0.25">
      <c r="A25" s="44" t="s">
        <v>119</v>
      </c>
      <c r="B25" s="45" t="s">
        <v>0</v>
      </c>
      <c r="C25" s="68">
        <v>1</v>
      </c>
      <c r="D25" s="46">
        <f>C2</f>
        <v>121201</v>
      </c>
      <c r="E25" s="46">
        <f>C25*D25</f>
        <v>121201</v>
      </c>
    </row>
    <row r="26" spans="1:6" x14ac:dyDescent="0.25">
      <c r="A26" s="44" t="s">
        <v>120</v>
      </c>
      <c r="B26" s="45" t="s">
        <v>98</v>
      </c>
      <c r="C26" s="120">
        <v>6.5</v>
      </c>
      <c r="D26" s="46"/>
      <c r="E26" s="46"/>
    </row>
    <row r="27" spans="1:6" x14ac:dyDescent="0.25">
      <c r="A27" s="44" t="s">
        <v>125</v>
      </c>
      <c r="B27" s="45" t="s">
        <v>1</v>
      </c>
      <c r="C27" s="70">
        <v>121</v>
      </c>
      <c r="D27" s="46"/>
      <c r="E27" s="46"/>
    </row>
    <row r="28" spans="1:6" x14ac:dyDescent="0.25">
      <c r="A28" s="44" t="s">
        <v>132</v>
      </c>
      <c r="B28" s="45" t="s">
        <v>1</v>
      </c>
      <c r="C28" s="48">
        <f>((C2-C7)-(C5))*((C3+1)/(2*C3))+(C5)</f>
        <v>74555.524999999994</v>
      </c>
      <c r="D28" s="46"/>
      <c r="E28" s="46"/>
      <c r="F28" s="43"/>
    </row>
    <row r="29" spans="1:6" ht="15.75" thickBot="1" x14ac:dyDescent="0.3">
      <c r="A29" s="71" t="s">
        <v>121</v>
      </c>
      <c r="B29" s="72" t="s">
        <v>1</v>
      </c>
      <c r="C29" s="72"/>
      <c r="D29" s="73">
        <f>C26*C28/12/100</f>
        <v>403.84242708333329</v>
      </c>
      <c r="E29" s="74">
        <f>D29</f>
        <v>403.84242708333329</v>
      </c>
    </row>
    <row r="30" spans="1:6" ht="15.75" thickTop="1" x14ac:dyDescent="0.25">
      <c r="A30" s="49" t="s">
        <v>122</v>
      </c>
      <c r="B30" s="50"/>
      <c r="C30" s="50"/>
      <c r="D30" s="51"/>
      <c r="E30" s="52">
        <f>E29</f>
        <v>403.84242708333329</v>
      </c>
      <c r="F30" s="69"/>
    </row>
    <row r="31" spans="1:6" ht="15.75" thickBot="1" x14ac:dyDescent="0.3">
      <c r="A31" s="57" t="s">
        <v>123</v>
      </c>
      <c r="B31" s="76" t="s">
        <v>0</v>
      </c>
      <c r="C31" s="75">
        <v>1</v>
      </c>
      <c r="D31" s="58">
        <f>E30</f>
        <v>403.84242708333329</v>
      </c>
      <c r="E31" s="52">
        <f>C31*D31</f>
        <v>403.84242708333329</v>
      </c>
      <c r="F31" s="69"/>
    </row>
    <row r="32" spans="1:6" ht="15.75" thickBot="1" x14ac:dyDescent="0.3">
      <c r="A32" s="47"/>
      <c r="B32" s="47"/>
      <c r="C32" s="77"/>
      <c r="D32" s="54" t="s">
        <v>103</v>
      </c>
      <c r="E32" s="55">
        <f>C8</f>
        <v>0.6</v>
      </c>
      <c r="F32" s="78">
        <f>E31*E32</f>
        <v>242.30545624999996</v>
      </c>
    </row>
    <row r="33" spans="1:6" x14ac:dyDescent="0.25">
      <c r="F33" s="69"/>
    </row>
    <row r="34" spans="1:6" x14ac:dyDescent="0.25">
      <c r="F34" s="69"/>
    </row>
    <row r="35" spans="1:6" x14ac:dyDescent="0.25">
      <c r="A35" t="s">
        <v>124</v>
      </c>
      <c r="F35" s="69"/>
    </row>
    <row r="36" spans="1:6" x14ac:dyDescent="0.25">
      <c r="F36" s="69"/>
    </row>
  </sheetData>
  <mergeCells count="1">
    <mergeCell ref="A9:F9"/>
  </mergeCells>
  <hyperlinks>
    <hyperlink ref="A23" location="AbaRemun" display="3.1.2. Remuneração do Capital"/>
    <hyperlink ref="A10" location="AbaDeprec" display="3.1.1. Depreciação"/>
  </hyperlinks>
  <pageMargins left="0.511811024" right="0.511811024" top="0.78740157499999996" bottom="0.78740157499999996" header="0.31496062000000002" footer="0.31496062000000002"/>
  <pageSetup paperSize="9" scale="86" orientation="portrait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F45" sqref="A1:F45"/>
    </sheetView>
  </sheetViews>
  <sheetFormatPr defaultRowHeight="15" x14ac:dyDescent="0.25"/>
  <cols>
    <col min="1" max="1" width="41.7109375" bestFit="1" customWidth="1"/>
    <col min="2" max="2" width="13.7109375" bestFit="1" customWidth="1"/>
    <col min="3" max="3" width="10.28515625" bestFit="1" customWidth="1"/>
    <col min="4" max="4" width="17.7109375" bestFit="1" customWidth="1"/>
    <col min="5" max="5" width="9.28515625" bestFit="1" customWidth="1"/>
    <col min="6" max="6" width="9.85546875" bestFit="1" customWidth="1"/>
  </cols>
  <sheetData>
    <row r="1" spans="1:6" ht="15.75" thickBot="1" x14ac:dyDescent="0.3">
      <c r="A1" s="156" t="s">
        <v>118</v>
      </c>
      <c r="B1" s="157">
        <f>'Mão de obra'!B2</f>
        <v>0.6</v>
      </c>
    </row>
    <row r="2" spans="1:6" ht="15.75" thickBot="1" x14ac:dyDescent="0.3">
      <c r="A2" s="158"/>
      <c r="B2" s="159"/>
    </row>
    <row r="3" spans="1:6" ht="18.75" thickBot="1" x14ac:dyDescent="0.3">
      <c r="A3" s="215" t="s">
        <v>209</v>
      </c>
      <c r="B3" s="216"/>
      <c r="C3" s="216"/>
      <c r="D3" s="216"/>
      <c r="E3" s="216"/>
      <c r="F3" s="217"/>
    </row>
    <row r="4" spans="1:6" ht="15.75" thickBot="1" x14ac:dyDescent="0.3">
      <c r="A4" s="47" t="s">
        <v>210</v>
      </c>
      <c r="B4" s="47"/>
      <c r="C4" s="47"/>
      <c r="D4" s="43"/>
      <c r="E4" s="43"/>
      <c r="F4" s="43"/>
    </row>
    <row r="5" spans="1:6" ht="15.75" thickBot="1" x14ac:dyDescent="0.3">
      <c r="A5" s="36" t="s">
        <v>86</v>
      </c>
      <c r="B5" s="37" t="s">
        <v>87</v>
      </c>
      <c r="C5" s="37" t="s">
        <v>88</v>
      </c>
      <c r="D5" s="38" t="s">
        <v>89</v>
      </c>
      <c r="E5" s="38" t="s">
        <v>90</v>
      </c>
      <c r="F5" s="39" t="s">
        <v>91</v>
      </c>
    </row>
    <row r="6" spans="1:6" x14ac:dyDescent="0.25">
      <c r="A6" s="40" t="s">
        <v>133</v>
      </c>
      <c r="B6" s="41" t="s">
        <v>0</v>
      </c>
      <c r="C6" s="42">
        <f>'Remuneração de capital'!C31</f>
        <v>1</v>
      </c>
      <c r="D6" s="42">
        <f>0.01*('Remuneração de capital'!E12)</f>
        <v>1212.01</v>
      </c>
      <c r="E6" s="42">
        <f>C6*D6</f>
        <v>1212.01</v>
      </c>
      <c r="F6" s="43">
        <f>E6*E10</f>
        <v>727.20600000000002</v>
      </c>
    </row>
    <row r="7" spans="1:6" x14ac:dyDescent="0.25">
      <c r="A7" s="44" t="s">
        <v>134</v>
      </c>
      <c r="B7" s="45" t="s">
        <v>0</v>
      </c>
      <c r="C7" s="42">
        <f>'Remuneração de capital'!C31</f>
        <v>1</v>
      </c>
      <c r="D7" s="133">
        <v>87.42</v>
      </c>
      <c r="E7" s="46">
        <f>C7*D7</f>
        <v>87.42</v>
      </c>
      <c r="F7" s="43">
        <f>E7*E10</f>
        <v>52.451999999999998</v>
      </c>
    </row>
    <row r="8" spans="1:6" x14ac:dyDescent="0.25">
      <c r="A8" s="147" t="s">
        <v>135</v>
      </c>
      <c r="B8" s="45" t="s">
        <v>0</v>
      </c>
      <c r="C8" s="42">
        <f>'Remuneração de capital'!C31</f>
        <v>1</v>
      </c>
      <c r="D8" s="133">
        <v>3088.78</v>
      </c>
      <c r="E8" s="46">
        <f>C8*D8</f>
        <v>3088.78</v>
      </c>
      <c r="F8" s="81">
        <f>E8*E10</f>
        <v>1853.268</v>
      </c>
    </row>
    <row r="9" spans="1:6" ht="15.75" thickBot="1" x14ac:dyDescent="0.3">
      <c r="A9" s="57" t="s">
        <v>136</v>
      </c>
      <c r="B9" s="76" t="s">
        <v>92</v>
      </c>
      <c r="C9" s="76">
        <v>12</v>
      </c>
      <c r="D9" s="58">
        <f>SUM(E6:E8)</f>
        <v>4388.21</v>
      </c>
      <c r="E9" s="58">
        <f>D9/C9</f>
        <v>365.68416666666667</v>
      </c>
      <c r="F9" s="43"/>
    </row>
    <row r="10" spans="1:6" ht="15.75" thickBot="1" x14ac:dyDescent="0.3">
      <c r="A10" s="47"/>
      <c r="B10" s="47"/>
      <c r="C10" s="47"/>
      <c r="D10" s="54" t="s">
        <v>103</v>
      </c>
      <c r="E10" s="55">
        <f>B1</f>
        <v>0.6</v>
      </c>
      <c r="F10" s="56">
        <f>E9*E10</f>
        <v>219.41049999999998</v>
      </c>
    </row>
    <row r="11" spans="1:6" x14ac:dyDescent="0.25">
      <c r="A11" s="47"/>
      <c r="B11" s="47"/>
      <c r="C11" s="47"/>
      <c r="D11" s="43"/>
      <c r="E11" s="43"/>
      <c r="F11" s="43"/>
    </row>
    <row r="12" spans="1:6" x14ac:dyDescent="0.25">
      <c r="A12" s="47" t="s">
        <v>211</v>
      </c>
      <c r="B12" s="82"/>
      <c r="C12" s="47"/>
      <c r="D12" s="43"/>
      <c r="E12" s="43"/>
      <c r="F12" s="43"/>
    </row>
    <row r="13" spans="1:6" x14ac:dyDescent="0.25">
      <c r="A13" s="47"/>
      <c r="B13" s="82"/>
      <c r="C13" s="47"/>
      <c r="D13" s="43"/>
      <c r="E13" s="43"/>
      <c r="F13" s="43"/>
    </row>
    <row r="14" spans="1:6" x14ac:dyDescent="0.25">
      <c r="A14" s="57" t="s">
        <v>137</v>
      </c>
      <c r="B14" s="134">
        <v>2285.6</v>
      </c>
      <c r="C14" s="47"/>
      <c r="D14" s="43"/>
      <c r="E14" s="43"/>
      <c r="F14" s="43"/>
    </row>
    <row r="15" spans="1:6" ht="15.75" thickBot="1" x14ac:dyDescent="0.3">
      <c r="A15" s="47"/>
      <c r="B15" s="82"/>
      <c r="C15" s="47"/>
      <c r="D15" s="43"/>
      <c r="E15" s="43"/>
      <c r="F15" s="43"/>
    </row>
    <row r="16" spans="1:6" ht="15.75" thickBot="1" x14ac:dyDescent="0.3">
      <c r="A16" s="36" t="s">
        <v>86</v>
      </c>
      <c r="B16" s="37" t="s">
        <v>87</v>
      </c>
      <c r="C16" s="37" t="s">
        <v>138</v>
      </c>
      <c r="D16" s="38" t="s">
        <v>89</v>
      </c>
      <c r="E16" s="38" t="s">
        <v>90</v>
      </c>
      <c r="F16" s="39" t="s">
        <v>91</v>
      </c>
    </row>
    <row r="17" spans="1:6" x14ac:dyDescent="0.25">
      <c r="A17" s="40" t="s">
        <v>139</v>
      </c>
      <c r="B17" s="41" t="s">
        <v>3</v>
      </c>
      <c r="C17" s="135">
        <v>8</v>
      </c>
      <c r="D17" s="136">
        <v>3.65</v>
      </c>
      <c r="E17" s="42"/>
      <c r="F17" s="43"/>
    </row>
    <row r="18" spans="1:6" x14ac:dyDescent="0.25">
      <c r="A18" s="44" t="s">
        <v>140</v>
      </c>
      <c r="B18" s="45" t="s">
        <v>4</v>
      </c>
      <c r="C18" s="61">
        <f>B14</f>
        <v>2285.6</v>
      </c>
      <c r="D18" s="83">
        <f>IFERROR(+D17/C17,"-")</f>
        <v>0.45624999999999999</v>
      </c>
      <c r="E18" s="46">
        <f>IFERROR(C18*D18,"-")</f>
        <v>1042.8049999999998</v>
      </c>
      <c r="F18" s="43"/>
    </row>
    <row r="19" spans="1:6" x14ac:dyDescent="0.25">
      <c r="A19" s="44" t="s">
        <v>141</v>
      </c>
      <c r="B19" s="45" t="s">
        <v>142</v>
      </c>
      <c r="C19" s="137">
        <v>6</v>
      </c>
      <c r="D19" s="133">
        <v>15</v>
      </c>
      <c r="E19" s="46"/>
      <c r="F19" s="43"/>
    </row>
    <row r="20" spans="1:6" x14ac:dyDescent="0.25">
      <c r="A20" s="44" t="s">
        <v>143</v>
      </c>
      <c r="B20" s="45" t="s">
        <v>4</v>
      </c>
      <c r="C20" s="61">
        <f>C18</f>
        <v>2285.6</v>
      </c>
      <c r="D20" s="84">
        <f>+C19*D19/1000</f>
        <v>0.09</v>
      </c>
      <c r="E20" s="46">
        <f>C20*D20</f>
        <v>205.70399999999998</v>
      </c>
      <c r="F20" s="43"/>
    </row>
    <row r="21" spans="1:6" x14ac:dyDescent="0.25">
      <c r="A21" s="44" t="s">
        <v>144</v>
      </c>
      <c r="B21" s="45" t="s">
        <v>142</v>
      </c>
      <c r="C21" s="137">
        <v>0.5</v>
      </c>
      <c r="D21" s="133">
        <v>14</v>
      </c>
      <c r="E21" s="46"/>
      <c r="F21" s="43"/>
    </row>
    <row r="22" spans="1:6" x14ac:dyDescent="0.25">
      <c r="A22" s="44" t="s">
        <v>145</v>
      </c>
      <c r="B22" s="45" t="s">
        <v>4</v>
      </c>
      <c r="C22" s="61">
        <f>C18</f>
        <v>2285.6</v>
      </c>
      <c r="D22" s="84">
        <f>+C21*D21/1000</f>
        <v>7.0000000000000001E-3</v>
      </c>
      <c r="E22" s="46">
        <f>C22*D22</f>
        <v>15.9992</v>
      </c>
      <c r="F22" s="43"/>
    </row>
    <row r="23" spans="1:6" x14ac:dyDescent="0.25">
      <c r="A23" s="44" t="s">
        <v>146</v>
      </c>
      <c r="B23" s="45" t="s">
        <v>142</v>
      </c>
      <c r="C23" s="137">
        <v>0.5</v>
      </c>
      <c r="D23" s="133">
        <v>16</v>
      </c>
      <c r="E23" s="46"/>
      <c r="F23" s="43"/>
    </row>
    <row r="24" spans="1:6" x14ac:dyDescent="0.25">
      <c r="A24" s="44" t="s">
        <v>147</v>
      </c>
      <c r="B24" s="45" t="s">
        <v>4</v>
      </c>
      <c r="C24" s="61">
        <f>C18</f>
        <v>2285.6</v>
      </c>
      <c r="D24" s="84">
        <f>+C23*D23/1000</f>
        <v>8.0000000000000002E-3</v>
      </c>
      <c r="E24" s="46">
        <f>C24*D24</f>
        <v>18.284800000000001</v>
      </c>
      <c r="F24" s="43"/>
    </row>
    <row r="25" spans="1:6" x14ac:dyDescent="0.25">
      <c r="A25" s="44" t="s">
        <v>148</v>
      </c>
      <c r="B25" s="45" t="s">
        <v>149</v>
      </c>
      <c r="C25" s="137">
        <v>0.3</v>
      </c>
      <c r="D25" s="133">
        <v>10</v>
      </c>
      <c r="E25" s="46"/>
      <c r="F25" s="43"/>
    </row>
    <row r="26" spans="1:6" x14ac:dyDescent="0.25">
      <c r="A26" s="44" t="s">
        <v>150</v>
      </c>
      <c r="B26" s="45" t="s">
        <v>4</v>
      </c>
      <c r="C26" s="61">
        <f>C18</f>
        <v>2285.6</v>
      </c>
      <c r="D26" s="84">
        <f>+C25*D25/1000</f>
        <v>3.0000000000000001E-3</v>
      </c>
      <c r="E26" s="46">
        <f>C26*D26</f>
        <v>6.8567999999999998</v>
      </c>
      <c r="F26" s="43"/>
    </row>
    <row r="27" spans="1:6" ht="15.75" thickBot="1" x14ac:dyDescent="0.3">
      <c r="A27" s="57" t="s">
        <v>151</v>
      </c>
      <c r="B27" s="76" t="s">
        <v>152</v>
      </c>
      <c r="C27" s="85"/>
      <c r="D27" s="86">
        <f>IFERROR(D18+D20+D22+D24+D26,0)</f>
        <v>0.56425000000000003</v>
      </c>
      <c r="E27" s="46"/>
      <c r="F27" s="43"/>
    </row>
    <row r="28" spans="1:6" ht="15.75" thickBot="1" x14ac:dyDescent="0.3">
      <c r="A28" s="47"/>
      <c r="B28" s="47"/>
      <c r="C28" s="47"/>
      <c r="D28" s="43"/>
      <c r="E28" s="43"/>
      <c r="F28" s="78">
        <f>SUM(E17:E26)</f>
        <v>1289.6497999999997</v>
      </c>
    </row>
    <row r="29" spans="1:6" x14ac:dyDescent="0.25">
      <c r="A29" s="47"/>
      <c r="B29" s="47"/>
      <c r="C29" s="47"/>
      <c r="D29" s="43"/>
      <c r="E29" s="43"/>
      <c r="F29" s="43"/>
    </row>
    <row r="30" spans="1:6" ht="15.75" thickBot="1" x14ac:dyDescent="0.3">
      <c r="A30" s="47" t="s">
        <v>212</v>
      </c>
      <c r="B30" s="47"/>
      <c r="C30" s="47"/>
      <c r="D30" s="43"/>
      <c r="E30" s="43"/>
      <c r="F30" s="43"/>
    </row>
    <row r="31" spans="1:6" ht="15.75" thickBot="1" x14ac:dyDescent="0.3">
      <c r="A31" s="36" t="s">
        <v>86</v>
      </c>
      <c r="B31" s="37" t="s">
        <v>87</v>
      </c>
      <c r="C31" s="37" t="s">
        <v>88</v>
      </c>
      <c r="D31" s="38" t="s">
        <v>89</v>
      </c>
      <c r="E31" s="38" t="s">
        <v>90</v>
      </c>
      <c r="F31" s="39" t="s">
        <v>91</v>
      </c>
    </row>
    <row r="32" spans="1:6" x14ac:dyDescent="0.25">
      <c r="A32" s="40" t="s">
        <v>157</v>
      </c>
      <c r="B32" s="41" t="s">
        <v>152</v>
      </c>
      <c r="C32" s="61">
        <f>B14</f>
        <v>2285.6</v>
      </c>
      <c r="D32" s="129">
        <v>0.15</v>
      </c>
      <c r="E32" s="42">
        <f>C32*D32</f>
        <v>342.84</v>
      </c>
      <c r="F32" s="43"/>
    </row>
    <row r="33" spans="1:6" ht="15.75" thickBot="1" x14ac:dyDescent="0.3">
      <c r="A33" s="44" t="s">
        <v>222</v>
      </c>
      <c r="B33" s="45"/>
      <c r="C33" s="61">
        <v>5</v>
      </c>
      <c r="D33" s="133">
        <v>80</v>
      </c>
      <c r="E33" s="42">
        <f>C33*D33</f>
        <v>400</v>
      </c>
      <c r="F33" s="43"/>
    </row>
    <row r="34" spans="1:6" ht="15.75" thickBot="1" x14ac:dyDescent="0.3">
      <c r="A34" s="47"/>
      <c r="B34" s="47"/>
      <c r="C34" s="47"/>
      <c r="D34" s="43"/>
      <c r="E34" s="43"/>
      <c r="F34" s="78">
        <f>SUM(E32:E33)</f>
        <v>742.83999999999992</v>
      </c>
    </row>
    <row r="35" spans="1:6" x14ac:dyDescent="0.25">
      <c r="A35" s="47"/>
      <c r="B35" s="47"/>
      <c r="C35" s="47"/>
      <c r="D35" s="43"/>
      <c r="E35" s="43"/>
      <c r="F35" s="43"/>
    </row>
    <row r="36" spans="1:6" ht="15.75" thickBot="1" x14ac:dyDescent="0.3">
      <c r="A36" s="47" t="s">
        <v>213</v>
      </c>
      <c r="B36" s="47"/>
      <c r="C36" s="47"/>
      <c r="D36" s="43"/>
      <c r="E36" s="43"/>
      <c r="F36" s="43"/>
    </row>
    <row r="37" spans="1:6" ht="15.75" thickBot="1" x14ac:dyDescent="0.3">
      <c r="A37" s="36" t="s">
        <v>86</v>
      </c>
      <c r="B37" s="37" t="s">
        <v>87</v>
      </c>
      <c r="C37" s="37" t="s">
        <v>88</v>
      </c>
      <c r="D37" s="38" t="s">
        <v>89</v>
      </c>
      <c r="E37" s="38" t="s">
        <v>90</v>
      </c>
      <c r="F37" s="39" t="s">
        <v>91</v>
      </c>
    </row>
    <row r="38" spans="1:6" x14ac:dyDescent="0.25">
      <c r="A38" s="40" t="s">
        <v>220</v>
      </c>
      <c r="B38" s="41" t="s">
        <v>0</v>
      </c>
      <c r="C38" s="138">
        <v>4</v>
      </c>
      <c r="D38" s="129">
        <v>700</v>
      </c>
      <c r="E38" s="42">
        <f>C38*D38</f>
        <v>2800</v>
      </c>
      <c r="F38" s="43"/>
    </row>
    <row r="39" spans="1:6" x14ac:dyDescent="0.25">
      <c r="A39" s="40" t="s">
        <v>153</v>
      </c>
      <c r="B39" s="41" t="s">
        <v>0</v>
      </c>
      <c r="C39" s="138">
        <v>1</v>
      </c>
      <c r="D39" s="87"/>
      <c r="E39" s="42"/>
      <c r="F39" s="43"/>
    </row>
    <row r="40" spans="1:6" x14ac:dyDescent="0.25">
      <c r="A40" s="40" t="s">
        <v>154</v>
      </c>
      <c r="B40" s="41" t="s">
        <v>0</v>
      </c>
      <c r="C40" s="42">
        <f>C38*C39</f>
        <v>4</v>
      </c>
      <c r="D40" s="129">
        <v>250</v>
      </c>
      <c r="E40" s="42">
        <f>C40*D40</f>
        <v>1000</v>
      </c>
      <c r="F40" s="43"/>
    </row>
    <row r="41" spans="1:6" x14ac:dyDescent="0.25">
      <c r="A41" s="44" t="s">
        <v>221</v>
      </c>
      <c r="B41" s="45" t="s">
        <v>155</v>
      </c>
      <c r="C41" s="139">
        <v>50000</v>
      </c>
      <c r="D41" s="46">
        <f>E38+E40</f>
        <v>3800</v>
      </c>
      <c r="E41" s="46">
        <f>IFERROR(D41/C41,"-")</f>
        <v>7.5999999999999998E-2</v>
      </c>
      <c r="F41" s="43"/>
    </row>
    <row r="42" spans="1:6" ht="15.75" thickBot="1" x14ac:dyDescent="0.3">
      <c r="A42" s="44" t="s">
        <v>156</v>
      </c>
      <c r="B42" s="45" t="s">
        <v>4</v>
      </c>
      <c r="C42" s="61">
        <f>B14</f>
        <v>2285.6</v>
      </c>
      <c r="D42" s="46">
        <f>E41</f>
        <v>7.5999999999999998E-2</v>
      </c>
      <c r="E42" s="46">
        <f>IFERROR(C42*D42,0)</f>
        <v>173.70559999999998</v>
      </c>
      <c r="F42" s="43"/>
    </row>
    <row r="43" spans="1:6" ht="15.75" thickBot="1" x14ac:dyDescent="0.3">
      <c r="A43" s="47"/>
      <c r="B43" s="47"/>
      <c r="C43" s="47"/>
      <c r="D43" s="43"/>
      <c r="E43" s="43"/>
      <c r="F43" s="78">
        <f>E42</f>
        <v>173.70559999999998</v>
      </c>
    </row>
    <row r="44" spans="1:6" ht="15.75" thickBot="1" x14ac:dyDescent="0.3">
      <c r="A44" s="47"/>
      <c r="B44" s="47"/>
      <c r="C44" s="47"/>
      <c r="D44" s="43"/>
      <c r="E44" s="43"/>
      <c r="F44" s="43"/>
    </row>
    <row r="45" spans="1:6" ht="15.75" thickBot="1" x14ac:dyDescent="0.3">
      <c r="A45" s="153" t="s">
        <v>182</v>
      </c>
      <c r="B45" s="160" t="s">
        <v>180</v>
      </c>
      <c r="C45" s="152"/>
      <c r="D45" s="152"/>
      <c r="E45" s="152"/>
      <c r="F45" s="154">
        <f>F10+F28+F34+F43</f>
        <v>2425.6058999999991</v>
      </c>
    </row>
  </sheetData>
  <mergeCells count="1">
    <mergeCell ref="A3:F3"/>
  </mergeCells>
  <pageMargins left="0.511811024" right="0.511811024" top="0.78740157499999996" bottom="0.78740157499999996" header="0.31496062000000002" footer="0.31496062000000002"/>
  <pageSetup paperSize="9" scale="8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F22" sqref="A1:F22"/>
    </sheetView>
  </sheetViews>
  <sheetFormatPr defaultRowHeight="15" x14ac:dyDescent="0.25"/>
  <cols>
    <col min="1" max="1" width="49.28515625" customWidth="1"/>
    <col min="2" max="2" width="8.42578125" customWidth="1"/>
    <col min="3" max="3" width="10.28515625" bestFit="1" customWidth="1"/>
    <col min="4" max="4" width="13.5703125" bestFit="1" customWidth="1"/>
    <col min="5" max="5" width="11.140625" customWidth="1"/>
    <col min="6" max="6" width="9.85546875" bestFit="1" customWidth="1"/>
  </cols>
  <sheetData>
    <row r="1" spans="1:6" ht="15.75" thickBot="1" x14ac:dyDescent="0.3"/>
    <row r="2" spans="1:6" ht="18.75" thickBot="1" x14ac:dyDescent="0.3">
      <c r="A2" s="218" t="s">
        <v>214</v>
      </c>
      <c r="B2" s="219"/>
      <c r="C2" s="219"/>
      <c r="D2" s="219"/>
      <c r="E2" s="219"/>
      <c r="F2" s="220"/>
    </row>
    <row r="3" spans="1:6" x14ac:dyDescent="0.25">
      <c r="A3" s="88" t="s">
        <v>158</v>
      </c>
      <c r="B3" s="89" t="s">
        <v>159</v>
      </c>
      <c r="C3" s="140">
        <v>0.05</v>
      </c>
      <c r="D3" s="90"/>
      <c r="E3" s="91"/>
      <c r="F3" s="92"/>
    </row>
    <row r="4" spans="1:6" x14ac:dyDescent="0.25">
      <c r="A4" s="93" t="s">
        <v>160</v>
      </c>
      <c r="B4" s="94" t="s">
        <v>161</v>
      </c>
      <c r="C4" s="141">
        <v>2.5000000000000001E-2</v>
      </c>
      <c r="D4" s="90"/>
      <c r="E4" s="91"/>
      <c r="F4" s="92"/>
    </row>
    <row r="5" spans="1:6" x14ac:dyDescent="0.25">
      <c r="A5" s="93" t="s">
        <v>162</v>
      </c>
      <c r="B5" s="94" t="s">
        <v>163</v>
      </c>
      <c r="C5" s="141">
        <v>8.5000000000000006E-2</v>
      </c>
      <c r="D5" s="90"/>
      <c r="E5" s="91"/>
      <c r="F5" s="92"/>
    </row>
    <row r="6" spans="1:6" x14ac:dyDescent="0.25">
      <c r="A6" s="93" t="s">
        <v>164</v>
      </c>
      <c r="B6" s="94" t="s">
        <v>165</v>
      </c>
      <c r="C6" s="95">
        <f>(1+E6)^(E7/252)-1</f>
        <v>1.983949938652918E-3</v>
      </c>
      <c r="D6" s="90" t="s">
        <v>166</v>
      </c>
      <c r="E6" s="143">
        <v>4.2500000000000003E-2</v>
      </c>
      <c r="F6" s="96"/>
    </row>
    <row r="7" spans="1:6" x14ac:dyDescent="0.25">
      <c r="A7" s="93" t="s">
        <v>167</v>
      </c>
      <c r="B7" s="221" t="s">
        <v>168</v>
      </c>
      <c r="C7" s="141">
        <v>0.03</v>
      </c>
      <c r="D7" s="97" t="s">
        <v>169</v>
      </c>
      <c r="E7" s="144">
        <v>12</v>
      </c>
      <c r="F7" s="98"/>
    </row>
    <row r="8" spans="1:6" ht="15.75" thickBot="1" x14ac:dyDescent="0.3">
      <c r="A8" s="99" t="s">
        <v>170</v>
      </c>
      <c r="B8" s="222"/>
      <c r="C8" s="142">
        <v>3.6499999999999998E-2</v>
      </c>
      <c r="D8" s="100"/>
      <c r="E8" s="101"/>
      <c r="F8" s="98"/>
    </row>
    <row r="9" spans="1:6" x14ac:dyDescent="0.25">
      <c r="A9" s="102" t="s">
        <v>171</v>
      </c>
      <c r="B9" s="103"/>
      <c r="C9" s="104"/>
      <c r="D9" s="100"/>
      <c r="E9" s="101"/>
      <c r="F9" s="98"/>
    </row>
    <row r="10" spans="1:6" ht="15.75" thickBot="1" x14ac:dyDescent="0.3">
      <c r="A10" s="105" t="s">
        <v>172</v>
      </c>
      <c r="B10" s="106"/>
      <c r="C10" s="107"/>
      <c r="D10" s="100"/>
      <c r="E10" s="101"/>
      <c r="F10" s="98"/>
    </row>
    <row r="11" spans="1:6" ht="15.75" thickBot="1" x14ac:dyDescent="0.3">
      <c r="A11" s="108" t="s">
        <v>173</v>
      </c>
      <c r="B11" s="109"/>
      <c r="C11" s="161">
        <f>ROUND((((1+C3+C4)*(1+C5)*(1+C6))/(1-(C7+C8))-1),4)</f>
        <v>0.25190000000000001</v>
      </c>
      <c r="D11" s="110"/>
      <c r="E11" s="111"/>
      <c r="F11" s="112"/>
    </row>
    <row r="14" spans="1:6" ht="15.75" thickBot="1" x14ac:dyDescent="0.3"/>
    <row r="15" spans="1:6" ht="15.75" thickBot="1" x14ac:dyDescent="0.3">
      <c r="A15" s="150" t="s">
        <v>183</v>
      </c>
      <c r="B15" s="160" t="s">
        <v>180</v>
      </c>
      <c r="C15" s="151"/>
      <c r="D15" s="151"/>
      <c r="E15" s="151"/>
      <c r="F15" s="162">
        <f>'Mão de obra'!F60+'Impostos e manutenção'!F45</f>
        <v>5606.2324415439998</v>
      </c>
    </row>
    <row r="17" spans="1:6" ht="15.75" thickBot="1" x14ac:dyDescent="0.3">
      <c r="A17" s="122" t="s">
        <v>215</v>
      </c>
    </row>
    <row r="18" spans="1:6" ht="15.75" thickBot="1" x14ac:dyDescent="0.3">
      <c r="A18" s="36" t="s">
        <v>86</v>
      </c>
      <c r="B18" s="37" t="s">
        <v>87</v>
      </c>
      <c r="C18" s="37" t="s">
        <v>88</v>
      </c>
      <c r="D18" s="38" t="s">
        <v>89</v>
      </c>
      <c r="E18" s="38" t="s">
        <v>90</v>
      </c>
      <c r="F18" s="39" t="s">
        <v>91</v>
      </c>
    </row>
    <row r="19" spans="1:6" ht="15.75" thickBot="1" x14ac:dyDescent="0.3">
      <c r="A19" s="40" t="s">
        <v>184</v>
      </c>
      <c r="B19" s="41" t="s">
        <v>98</v>
      </c>
      <c r="C19" s="119">
        <f>C11*100</f>
        <v>25.19</v>
      </c>
      <c r="D19" s="42">
        <f>+F15</f>
        <v>5606.2324415439998</v>
      </c>
      <c r="E19" s="42">
        <f>C19*D19/100</f>
        <v>1412.2099520249335</v>
      </c>
      <c r="F19" s="43"/>
    </row>
    <row r="20" spans="1:6" ht="15.75" thickBot="1" x14ac:dyDescent="0.3">
      <c r="A20" s="47"/>
      <c r="B20" s="47"/>
      <c r="C20" s="47"/>
      <c r="D20" s="43"/>
      <c r="E20" s="43"/>
      <c r="F20" s="78">
        <f>+E19</f>
        <v>1412.2099520249335</v>
      </c>
    </row>
    <row r="21" spans="1:6" ht="15.75" thickBot="1" x14ac:dyDescent="0.3">
      <c r="A21" s="47"/>
      <c r="B21" s="47"/>
      <c r="C21" s="47"/>
      <c r="D21" s="43"/>
      <c r="E21" s="43"/>
      <c r="F21" s="43"/>
    </row>
    <row r="22" spans="1:6" ht="15.75" thickBot="1" x14ac:dyDescent="0.3">
      <c r="A22" s="123" t="s">
        <v>185</v>
      </c>
      <c r="B22" s="124"/>
      <c r="C22" s="124"/>
      <c r="D22" s="125"/>
      <c r="E22" s="126"/>
      <c r="F22" s="63">
        <f>F20</f>
        <v>1412.2099520249335</v>
      </c>
    </row>
  </sheetData>
  <mergeCells count="2">
    <mergeCell ref="A2:F2"/>
    <mergeCell ref="B7:B8"/>
  </mergeCells>
  <pageMargins left="0.511811024" right="0.511811024" top="0.78740157499999996" bottom="0.78740157499999996" header="0.31496062000000002" footer="0.31496062000000002"/>
  <pageSetup paperSize="9" scale="90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I16" sqref="I16"/>
    </sheetView>
  </sheetViews>
  <sheetFormatPr defaultRowHeight="15" x14ac:dyDescent="0.25"/>
  <cols>
    <col min="1" max="1" width="39.42578125" bestFit="1" customWidth="1"/>
    <col min="2" max="2" width="21.28515625" style="127" customWidth="1"/>
    <col min="3" max="3" width="17.7109375" style="3" customWidth="1"/>
  </cols>
  <sheetData>
    <row r="1" spans="1:3" ht="18.75" thickBot="1" x14ac:dyDescent="0.3">
      <c r="A1" s="209" t="s">
        <v>216</v>
      </c>
      <c r="B1" s="210"/>
      <c r="C1" s="211"/>
    </row>
    <row r="2" spans="1:3" x14ac:dyDescent="0.25">
      <c r="A2" s="170" t="s">
        <v>33</v>
      </c>
      <c r="B2" s="169" t="s">
        <v>174</v>
      </c>
      <c r="C2" s="171" t="s">
        <v>98</v>
      </c>
    </row>
    <row r="3" spans="1:3" x14ac:dyDescent="0.25">
      <c r="A3" s="172" t="s">
        <v>85</v>
      </c>
      <c r="B3" s="148">
        <f>SUM(B4:B8)</f>
        <v>3180.6265415440002</v>
      </c>
      <c r="C3" s="173">
        <f t="shared" ref="C3:C16" si="0">IFERROR(B3/$B$17,0)</f>
        <v>0.42373041043331627</v>
      </c>
    </row>
    <row r="4" spans="1:3" x14ac:dyDescent="0.25">
      <c r="A4" s="172" t="s">
        <v>188</v>
      </c>
      <c r="B4" s="148">
        <f>'Mão de obra'!F18</f>
        <v>2698.5945415440001</v>
      </c>
      <c r="C4" s="174">
        <f t="shared" si="0"/>
        <v>0.35951299460843272</v>
      </c>
    </row>
    <row r="5" spans="1:3" x14ac:dyDescent="0.25">
      <c r="A5" s="172" t="s">
        <v>189</v>
      </c>
      <c r="B5" s="148">
        <f>'Mão de obra'!F39</f>
        <v>0</v>
      </c>
      <c r="C5" s="174">
        <f t="shared" si="0"/>
        <v>0</v>
      </c>
    </row>
    <row r="6" spans="1:3" x14ac:dyDescent="0.25">
      <c r="A6" s="172" t="s">
        <v>190</v>
      </c>
      <c r="B6" s="148">
        <f>'Mão de obra'!F47</f>
        <v>32.031999999999996</v>
      </c>
      <c r="C6" s="174">
        <f t="shared" si="0"/>
        <v>4.2673769868030956E-3</v>
      </c>
    </row>
    <row r="7" spans="1:3" x14ac:dyDescent="0.25">
      <c r="A7" s="172" t="s">
        <v>191</v>
      </c>
      <c r="B7" s="148">
        <f>'Mão de obra'!F52</f>
        <v>330</v>
      </c>
      <c r="C7" s="174">
        <f t="shared" si="0"/>
        <v>4.3963361814592331E-2</v>
      </c>
    </row>
    <row r="8" spans="1:3" x14ac:dyDescent="0.25">
      <c r="A8" s="172" t="s">
        <v>192</v>
      </c>
      <c r="B8" s="148">
        <f>'Mão de obra'!F57</f>
        <v>120</v>
      </c>
      <c r="C8" s="174">
        <f t="shared" si="0"/>
        <v>1.5986677023488122E-2</v>
      </c>
    </row>
    <row r="9" spans="1:3" x14ac:dyDescent="0.25">
      <c r="A9" s="172" t="s">
        <v>193</v>
      </c>
      <c r="B9" s="148">
        <f>SUM(B10:B15)</f>
        <v>2913.4138562499993</v>
      </c>
      <c r="C9" s="174">
        <f t="shared" si="0"/>
        <v>0.38813171963019821</v>
      </c>
    </row>
    <row r="10" spans="1:3" x14ac:dyDescent="0.25">
      <c r="A10" s="172" t="s">
        <v>194</v>
      </c>
      <c r="B10" s="148">
        <f>'Remuneração de capital'!F19</f>
        <v>245.5025</v>
      </c>
      <c r="C10" s="174">
        <f t="shared" si="0"/>
        <v>3.2706409799657436E-2</v>
      </c>
    </row>
    <row r="11" spans="1:3" x14ac:dyDescent="0.25">
      <c r="A11" s="172" t="s">
        <v>195</v>
      </c>
      <c r="B11" s="148">
        <f>'Remuneração de capital'!F32</f>
        <v>242.30545624999996</v>
      </c>
      <c r="C11" s="173">
        <f t="shared" si="0"/>
        <v>3.2280492250814002E-2</v>
      </c>
    </row>
    <row r="12" spans="1:3" x14ac:dyDescent="0.25">
      <c r="A12" s="172" t="s">
        <v>196</v>
      </c>
      <c r="B12" s="148">
        <f>'Impostos e manutenção'!F10</f>
        <v>219.41049999999998</v>
      </c>
      <c r="C12" s="173">
        <f t="shared" si="0"/>
        <v>2.9230373325517003E-2</v>
      </c>
    </row>
    <row r="13" spans="1:3" x14ac:dyDescent="0.25">
      <c r="A13" s="172" t="s">
        <v>197</v>
      </c>
      <c r="B13" s="148">
        <f>'Impostos e manutenção'!F28</f>
        <v>1289.6497999999997</v>
      </c>
      <c r="C13" s="173">
        <f t="shared" si="0"/>
        <v>0.17181012355005038</v>
      </c>
    </row>
    <row r="14" spans="1:3" x14ac:dyDescent="0.25">
      <c r="A14" s="172" t="s">
        <v>198</v>
      </c>
      <c r="B14" s="148">
        <f>'Impostos e manutenção'!F34</f>
        <v>742.83999999999992</v>
      </c>
      <c r="C14" s="173">
        <f t="shared" si="0"/>
        <v>9.8962859667732619E-2</v>
      </c>
    </row>
    <row r="15" spans="1:3" x14ac:dyDescent="0.25">
      <c r="A15" s="172" t="s">
        <v>199</v>
      </c>
      <c r="B15" s="148">
        <f>'Impostos e manutenção'!F43</f>
        <v>173.70559999999998</v>
      </c>
      <c r="C15" s="173">
        <f t="shared" si="0"/>
        <v>2.3141461036426815E-2</v>
      </c>
    </row>
    <row r="16" spans="1:3" x14ac:dyDescent="0.25">
      <c r="A16" s="172" t="s">
        <v>200</v>
      </c>
      <c r="B16" s="148">
        <f>BDI!F22</f>
        <v>1412.2099520249335</v>
      </c>
      <c r="C16" s="173">
        <f t="shared" si="0"/>
        <v>0.18813786993648554</v>
      </c>
    </row>
    <row r="17" spans="1:3" ht="15.75" thickBot="1" x14ac:dyDescent="0.3">
      <c r="A17" s="175" t="s">
        <v>201</v>
      </c>
      <c r="B17" s="181">
        <f>SUM(B3+B9+B16)</f>
        <v>7506.2503498189326</v>
      </c>
      <c r="C17" s="182">
        <f>C3+C9+C16</f>
        <v>1</v>
      </c>
    </row>
    <row r="18" spans="1:3" s="180" customFormat="1" ht="15.75" thickBot="1" x14ac:dyDescent="0.3">
      <c r="A18" s="183" t="s">
        <v>223</v>
      </c>
      <c r="B18" s="184">
        <f>B17/20</f>
        <v>375.31251749094662</v>
      </c>
      <c r="C18" s="185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CAGED</vt:lpstr>
      <vt:lpstr>Encargos</vt:lpstr>
      <vt:lpstr>Mão de obra</vt:lpstr>
      <vt:lpstr>Remuneração de capital</vt:lpstr>
      <vt:lpstr>Impostos e manutenção</vt:lpstr>
      <vt:lpstr>BDI</vt:lpstr>
      <vt:lpstr>Composição de custos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pmsap pmsap</cp:lastModifiedBy>
  <cp:lastPrinted>2020-04-20T14:22:32Z</cp:lastPrinted>
  <dcterms:created xsi:type="dcterms:W3CDTF">2020-01-13T18:06:35Z</dcterms:created>
  <dcterms:modified xsi:type="dcterms:W3CDTF">2020-04-20T14:24:20Z</dcterms:modified>
</cp:coreProperties>
</file>