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Trator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</sheets>
  <definedNames>
    <definedName name="AbaDeprec">'5. Depreciação'!$A$1</definedName>
    <definedName name="AbaRemun">'6.Remuneração de capital'!$A$1</definedName>
    <definedName name="Google_Sheet_Link_1983329609" hidden="1">AbaRemun</definedName>
    <definedName name="Google_Sheet_Link_883616420" hidden="1">AbaDeprec</definedName>
  </definedNames>
  <calcPr calcId="144525"/>
  <extLst>
    <ext uri="GoogleSheetsCustomDataVersion1">
      <go:sheetsCustomData xmlns:go="http://customooxmlschemas.google.com/" r:id="" roundtripDataSignature="AMtx7mjhecLcme2wQpowEe5/4W9J7VvYLQ=="/>
    </ext>
  </extLst>
</workbook>
</file>

<file path=xl/calcChain.xml><?xml version="1.0" encoding="utf-8"?>
<calcChain xmlns="http://schemas.openxmlformats.org/spreadsheetml/2006/main">
  <c r="F106" i="1" l="1"/>
  <c r="E103" i="1"/>
  <c r="E101" i="1"/>
  <c r="E100" i="1"/>
  <c r="E99" i="1"/>
  <c r="E98" i="1"/>
  <c r="E97" i="1"/>
  <c r="D102" i="1" l="1"/>
  <c r="F196" i="1" l="1"/>
  <c r="C67" i="1"/>
  <c r="C102" i="1" s="1"/>
  <c r="E102" i="1" s="1"/>
  <c r="F103" i="1" s="1"/>
  <c r="C15" i="4" l="1"/>
  <c r="C20" i="4" s="1"/>
  <c r="C188" i="1" s="1"/>
  <c r="F13" i="4"/>
  <c r="E13" i="4"/>
  <c r="D13" i="4"/>
  <c r="C25" i="3"/>
  <c r="C27" i="3" s="1"/>
  <c r="C23" i="3"/>
  <c r="C20" i="2"/>
  <c r="C17" i="2"/>
  <c r="E179" i="1"/>
  <c r="C175" i="1"/>
  <c r="E175" i="1" s="1"/>
  <c r="D176" i="1" s="1"/>
  <c r="E176" i="1" s="1"/>
  <c r="C166" i="1"/>
  <c r="C164" i="1"/>
  <c r="E164" i="1" s="1"/>
  <c r="D165" i="1" s="1"/>
  <c r="E165" i="1" s="1"/>
  <c r="D166" i="1" s="1"/>
  <c r="E166" i="1" s="1"/>
  <c r="F167" i="1" s="1"/>
  <c r="E21" i="1" s="1"/>
  <c r="E162" i="1"/>
  <c r="D151" i="1"/>
  <c r="D149" i="1"/>
  <c r="D147" i="1"/>
  <c r="D145" i="1"/>
  <c r="D152" i="1" s="1"/>
  <c r="C145" i="1"/>
  <c r="C149" i="1" s="1"/>
  <c r="E137" i="1"/>
  <c r="C135" i="1"/>
  <c r="E135" i="1" s="1"/>
  <c r="E130" i="1"/>
  <c r="C129" i="1"/>
  <c r="D124" i="1"/>
  <c r="E124" i="1" s="1"/>
  <c r="E120" i="1"/>
  <c r="C118" i="1"/>
  <c r="C117" i="1"/>
  <c r="E114" i="1"/>
  <c r="D134" i="1" s="1"/>
  <c r="E134" i="1" s="1"/>
  <c r="E88" i="1"/>
  <c r="C86" i="1"/>
  <c r="E86" i="1" s="1"/>
  <c r="A86" i="1"/>
  <c r="E81" i="1"/>
  <c r="C81" i="1"/>
  <c r="A81" i="1"/>
  <c r="A87" i="1" s="1"/>
  <c r="C80" i="1"/>
  <c r="E80" i="1" s="1"/>
  <c r="A80" i="1"/>
  <c r="C75" i="1"/>
  <c r="C74" i="1"/>
  <c r="E68" i="1"/>
  <c r="D60" i="1"/>
  <c r="E60" i="1" s="1"/>
  <c r="D59" i="1"/>
  <c r="E59" i="1" s="1"/>
  <c r="E57" i="1"/>
  <c r="D74" i="1" s="1"/>
  <c r="E53" i="1"/>
  <c r="D45" i="1"/>
  <c r="E45" i="1" s="1"/>
  <c r="D44" i="1"/>
  <c r="E44" i="1" s="1"/>
  <c r="E42" i="1"/>
  <c r="D75" i="1" s="1"/>
  <c r="E34" i="1"/>
  <c r="A34" i="1"/>
  <c r="A30" i="1"/>
  <c r="E29" i="1"/>
  <c r="C87" i="1" s="1"/>
  <c r="E87" i="1" s="1"/>
  <c r="A29" i="1"/>
  <c r="A23" i="1"/>
  <c r="A22" i="1"/>
  <c r="A21" i="1"/>
  <c r="A20" i="1"/>
  <c r="A19" i="1"/>
  <c r="A18" i="1"/>
  <c r="A15" i="1"/>
  <c r="A14" i="1"/>
  <c r="A13" i="1"/>
  <c r="A12" i="1"/>
  <c r="A11" i="1"/>
  <c r="A10" i="1"/>
  <c r="A9" i="1"/>
  <c r="A8" i="1"/>
  <c r="A7" i="1"/>
  <c r="E31" i="1" l="1"/>
  <c r="C177" i="1"/>
  <c r="E177" i="1" s="1"/>
  <c r="D178" i="1" s="1"/>
  <c r="E178" i="1" s="1"/>
  <c r="F179" i="1" s="1"/>
  <c r="F181" i="1" s="1"/>
  <c r="E22" i="1" s="1"/>
  <c r="E149" i="1"/>
  <c r="F82" i="1"/>
  <c r="E11" i="1" s="1"/>
  <c r="E74" i="1"/>
  <c r="E75" i="1"/>
  <c r="D136" i="1"/>
  <c r="E136" i="1" s="1"/>
  <c r="F137" i="1" s="1"/>
  <c r="E18" i="1" s="1"/>
  <c r="E13" i="1"/>
  <c r="E117" i="1"/>
  <c r="D118" i="1" s="1"/>
  <c r="E118" i="1" s="1"/>
  <c r="D119" i="1" s="1"/>
  <c r="E119" i="1" s="1"/>
  <c r="F120" i="1" s="1"/>
  <c r="C28" i="3"/>
  <c r="C33" i="3"/>
  <c r="C27" i="2" s="1"/>
  <c r="F88" i="1"/>
  <c r="D117" i="1"/>
  <c r="E145" i="1"/>
  <c r="C157" i="1"/>
  <c r="E157" i="1" s="1"/>
  <c r="F158" i="1" s="1"/>
  <c r="E20" i="1" s="1"/>
  <c r="C26" i="3"/>
  <c r="C31" i="2" s="1"/>
  <c r="C126" i="1"/>
  <c r="D46" i="1"/>
  <c r="E46" i="1" s="1"/>
  <c r="D61" i="1"/>
  <c r="E61" i="1" s="1"/>
  <c r="D63" i="1" s="1"/>
  <c r="E63" i="1" s="1"/>
  <c r="E64" i="1" s="1"/>
  <c r="C147" i="1"/>
  <c r="E147" i="1" s="1"/>
  <c r="C151" i="1"/>
  <c r="E151" i="1" s="1"/>
  <c r="F76" i="1" l="1"/>
  <c r="E10" i="1" s="1"/>
  <c r="E12" i="1"/>
  <c r="E16" i="1"/>
  <c r="D65" i="1"/>
  <c r="C127" i="1"/>
  <c r="D128" i="1" s="1"/>
  <c r="E128" i="1" s="1"/>
  <c r="D129" i="1" s="1"/>
  <c r="E129" i="1" s="1"/>
  <c r="F130" i="1" s="1"/>
  <c r="E17" i="1" s="1"/>
  <c r="D48" i="1"/>
  <c r="E48" i="1" s="1"/>
  <c r="E49" i="1" s="1"/>
  <c r="C30" i="2"/>
  <c r="C29" i="2"/>
  <c r="C35" i="2"/>
  <c r="C32" i="2"/>
  <c r="F153" i="1"/>
  <c r="E19" i="1" s="1"/>
  <c r="C28" i="2"/>
  <c r="C19" i="2"/>
  <c r="C25" i="2" s="1"/>
  <c r="C34" i="2" s="1"/>
  <c r="C36" i="2" l="1"/>
  <c r="C37" i="2" s="1"/>
  <c r="D50" i="1"/>
  <c r="F170" i="1"/>
  <c r="E14" i="1" s="1"/>
  <c r="E15" i="1"/>
  <c r="C65" i="1" l="1"/>
  <c r="E65" i="1" s="1"/>
  <c r="E66" i="1" s="1"/>
  <c r="D67" i="1" s="1"/>
  <c r="E67" i="1" s="1"/>
  <c r="F68" i="1" s="1"/>
  <c r="C50" i="1"/>
  <c r="E50" i="1" s="1"/>
  <c r="E51" i="1" s="1"/>
  <c r="D52" i="1" s="1"/>
  <c r="E52" i="1" s="1"/>
  <c r="F53" i="1" s="1"/>
  <c r="E8" i="1" s="1"/>
  <c r="E9" i="1" l="1"/>
  <c r="F90" i="1"/>
  <c r="E7" i="1" l="1"/>
  <c r="F183" i="1"/>
  <c r="D188" i="1" l="1"/>
  <c r="E188" i="1" s="1"/>
  <c r="F189" i="1" s="1"/>
  <c r="F191" i="1" s="1"/>
  <c r="E23" i="1" s="1"/>
  <c r="F194" i="1" l="1"/>
  <c r="F198" i="1" s="1"/>
  <c r="E25" i="1" s="1"/>
  <c r="E24" i="1"/>
  <c r="F24" i="1" l="1"/>
  <c r="F22" i="1"/>
  <c r="F10" i="1"/>
  <c r="F11" i="1"/>
  <c r="F21" i="1"/>
  <c r="F18" i="1"/>
  <c r="F20" i="1"/>
  <c r="F13" i="1"/>
  <c r="F12" i="1"/>
  <c r="F17" i="1"/>
  <c r="F19" i="1"/>
  <c r="F16" i="1"/>
  <c r="F15" i="1"/>
  <c r="F14" i="1"/>
  <c r="F8" i="1"/>
  <c r="F9" i="1"/>
  <c r="F7" i="1"/>
  <c r="F23" i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</rPr>
          <t>======
ID#AAAAL6PCx5g
Clauber Bridi    (2021-04-05 11:24:37)
Qualquer custo previsto no edital e não contemplado nesta planilha modelo deverá ser devidamente incluído</t>
        </r>
      </text>
    </comment>
    <comment ref="B36" authorId="0">
      <text>
        <r>
          <rPr>
            <sz val="10"/>
            <color rgb="FF000000"/>
            <rFont val="Arial"/>
          </rPr>
          <t>======
ID#AAAAL6PCx8c
Clauber Bridi    (2021-04-05 11:24:37)
Informar o fator de utilização das equipes de coleta. 
Por exemplo:
Equipes com utilização integral = 100%
Equipes com utilização parcial = n° horas trabalhadas por semana /44 horas</t>
        </r>
      </text>
    </comment>
    <comment ref="D42" authorId="0">
      <text>
        <r>
          <rPr>
            <sz val="10"/>
            <color rgb="FF000000"/>
            <rFont val="Arial"/>
          </rPr>
          <t>======
ID#AAAAL6PCx6M
Clauber Bridi    (2021-04-05 11:24:37)
Informar o Piso da categoria fixado na Convenção Coletiva</t>
        </r>
      </text>
    </comment>
    <comment ref="D43" authorId="0">
      <text>
        <r>
          <rPr>
            <sz val="10"/>
            <color rgb="FF000000"/>
            <rFont val="Arial"/>
          </rPr>
          <t>======
ID#AAAAL6PCx7A
Clauber Bridi    (2021-04-05 11:24:37)
Informar o valor do salário Mínimo Nacional</t>
        </r>
      </text>
    </comment>
    <comment ref="C44" authorId="0">
      <text>
        <r>
          <rPr>
            <sz val="10"/>
            <color rgb="FF000000"/>
            <rFont val="Arial"/>
          </rPr>
          <t>======
ID#AAAAL6PCx7g
Clauber Bridi    (2021-04-05 11:24:37)
Informar o número de horas extras trabalhadas em horário diurno nos domingos e feriados</t>
        </r>
      </text>
    </comment>
    <comment ref="C45" authorId="0">
      <text>
        <r>
          <rPr>
            <sz val="10"/>
            <color rgb="FF000000"/>
            <rFont val="Arial"/>
          </rPr>
          <t>======
ID#AAAAL6PCx8U
Clauber Bridi    (2021-04-05 11:24:37)
Informar o número de horas extras trabalhadas em horário diurno de segunda a sábado</t>
        </r>
      </text>
    </comment>
    <comment ref="A46" authorId="0">
      <text>
        <r>
          <rPr>
            <sz val="10"/>
            <color rgb="FF000000"/>
            <rFont val="Arial"/>
          </rPr>
          <t>======
ID#AAAAL6PCx6Y
Clauber Bridi    (2021-04-05 11:24:37)
Cálculo do descanso semanal remunerado incidente sobre as horas extras habitualmente prestadas. Considerada a média de 63 feriados + domingos e 302 dias trabalhados por ano</t>
        </r>
      </text>
    </comment>
    <comment ref="C47" authorId="0">
      <text>
        <r>
          <rPr>
            <sz val="10"/>
            <color rgb="FF000000"/>
            <rFont val="Arial"/>
          </rPr>
          <t>======
ID#AAAAL6PCx8M
Clauber Bridi    (2021-04-05 11:24:37)
Informar 1 se a base de cálculo for o Salário Mínimo Nacional; Informar 2 se a base de cálculo for o Piso da Categoria;</t>
        </r>
      </text>
    </comment>
    <comment ref="C48" authorId="0">
      <text>
        <r>
          <rPr>
            <sz val="10"/>
            <color rgb="FF000000"/>
            <rFont val="Arial"/>
          </rPr>
          <t>======
ID#AAAAL6PCx6c
Clauber Bridi    (2021-04-05 11:24:37)
Percentual estabelecido nas Normas de Segurança de Trabalho ou pelo laudo de responsável técnico devidamente habilitado</t>
        </r>
      </text>
    </comment>
    <comment ref="C50" authorId="0">
      <text>
        <r>
          <rPr>
            <sz val="10"/>
            <color rgb="FF000000"/>
            <rFont val="Arial"/>
          </rPr>
          <t>======
ID#AAAAL6PCx6g
Clauber Bridi    (2021-04-05 11:24:37)
Preencher a planilha Encargos Sociais e CAGED</t>
        </r>
      </text>
    </comment>
    <comment ref="C52" authorId="0">
      <text>
        <r>
          <rPr>
            <sz val="10"/>
            <color rgb="FF000000"/>
            <rFont val="Arial"/>
          </rPr>
          <t>======
ID#AAAAL6PCx70
Clauber Bridi    (2021-04-05 11:24:37)
Informar a quantidade de trabalhadores na função</t>
        </r>
      </text>
    </comment>
    <comment ref="D72" authorId="0">
      <text>
        <r>
          <rPr>
            <sz val="10"/>
            <color rgb="FF000000"/>
            <rFont val="Arial"/>
          </rPr>
          <t>======
ID#AAAAL6PCx6s
Clauber Bridi    (2021-04-05 11:24:37)
Informar o valor unitário do VT no município</t>
        </r>
      </text>
    </comment>
    <comment ref="C73" authorId="0">
      <text>
        <r>
          <rPr>
            <sz val="10"/>
            <color rgb="FF000000"/>
            <rFont val="Arial"/>
          </rPr>
          <t>======
ID#AAAAL6PCx88
Clauber Bridi    (2021-04-05 11:24:37)
Informar o número médio de dias trabalhados por mês</t>
        </r>
      </text>
    </comment>
    <comment ref="D75" authorId="0">
      <text>
        <r>
          <rPr>
            <sz val="10"/>
            <color rgb="FF000000"/>
            <rFont val="Arial"/>
          </rPr>
          <t>======
ID#AAAAL6PCx5Y
Clauber Bridi    (2021-04-05 11:24:37)
Valor Unitário considerando o desconto legal de até 6% do salário</t>
        </r>
      </text>
    </comment>
    <comment ref="D81" authorId="0">
      <text>
        <r>
          <rPr>
            <sz val="10"/>
            <color rgb="FF000000"/>
            <rFont val="Arial"/>
          </rPr>
          <t>======
ID#AAAAL6PCx6U
Clauber Bridi    (2021-04-05 11:24:37)
Informar o valor unitário diário do vale refeição, considerando o desconto aplicável ao funcionário, conforme Convenção Coletiva da categoria.</t>
        </r>
      </text>
    </comment>
    <comment ref="D87" authorId="0">
      <text>
        <r>
          <rPr>
            <sz val="10"/>
            <color rgb="FF000000"/>
            <rFont val="Arial"/>
          </rPr>
          <t>======
ID#AAAAL6PCx7I
Clauber Bridi    (2021-04-05 11:24:37)
Informar o valor mensal do auxilio alimentação, considerando o desconto aplicável ao funcionário, conforme Convenção Coletiva da categoria</t>
        </r>
      </text>
    </comment>
    <comment ref="C97" authorId="0">
      <text>
        <r>
          <rPr>
            <sz val="10"/>
            <color rgb="FF000000"/>
            <rFont val="Arial"/>
          </rPr>
          <t>======
ID#AAAAL6PCx8A
Clauber Bridi    (2021-04-05 11:24:37)
Informar a durabilidade estimada em meses, para cada EPI</t>
        </r>
      </text>
    </comment>
    <comment ref="D97" authorId="0">
      <text>
        <r>
          <rPr>
            <sz val="10"/>
            <color rgb="FF000000"/>
            <rFont val="Arial"/>
          </rPr>
          <t>======
ID#AAAAL6PCx74
Clauber Bridi    (2021-04-05 11:24:37)
Informar o valor unitário estimado para aquisição de cada EPI</t>
        </r>
      </text>
    </comment>
    <comment ref="C101" authorId="0">
      <text>
        <r>
          <rPr>
            <sz val="10"/>
            <color rgb="FF000000"/>
            <rFont val="Arial"/>
          </rPr>
          <t>======
ID#AAAAL6PCx50
Clauber Bridi    (2021-04-05 11:24:37)
Informar a durabilidade estimada em meses, para cada EPI</t>
        </r>
      </text>
    </comment>
    <comment ref="D101" authorId="0">
      <text>
        <r>
          <rPr>
            <sz val="10"/>
            <color rgb="FF000000"/>
            <rFont val="Arial"/>
          </rPr>
          <t>======
ID#AAAAL6PCx9A
Clauber Bridi    (2021-04-05 11:24:37)
Informar o valor unitário estimado para aquisição de cada EPI</t>
        </r>
      </text>
    </comment>
    <comment ref="D114" authorId="0">
      <text>
        <r>
          <rPr>
            <sz val="10"/>
            <color rgb="FF000000"/>
            <rFont val="Arial"/>
          </rPr>
          <t>======
ID#AAAAL6PCx6A
Clauber Bridi    (2021-04-05 11:24:37)
Informar o preço unitário do chassis do trator 75hp</t>
        </r>
      </text>
    </comment>
    <comment ref="C115" authorId="0">
      <text>
        <r>
          <rPr>
            <sz val="10"/>
            <color rgb="FF000000"/>
            <rFont val="Arial"/>
          </rPr>
          <t>======
ID#AAAAL6PCx5o
Clauber Bridi    (2021-04-05 11:24:37)
Informar a vida útil estimada para o trator, em anos</t>
        </r>
      </text>
    </comment>
    <comment ref="C116" authorId="0">
      <text>
        <r>
          <rPr>
            <sz val="10"/>
            <color rgb="FF000000"/>
            <rFont val="Arial"/>
          </rPr>
          <t>======
ID#AAAAL6PCx5c
Clauber Bridi    (2021-04-05 11:24:37)
Na elaboração do orçamento-base da licitação, informar 0 (zero). Na proposta da licitante, informar a idade do veículo proposto.</t>
        </r>
      </text>
    </comment>
    <comment ref="C117" authorId="0">
      <text>
        <r>
          <rPr>
            <sz val="10"/>
            <color rgb="FF000000"/>
            <rFont val="Arial"/>
          </rPr>
          <t>======
ID#AAAAL6PCx84
Clauber Bridi    (2021-04-05 11:24:37)
Informar o valor da depreciação do caminhão, adotando o valor sugerido pelo TCE ou outro valor estimado</t>
        </r>
      </text>
    </comment>
    <comment ref="C119" authorId="0">
      <text>
        <r>
          <rPr>
            <sz val="10"/>
            <color rgb="FF000000"/>
            <rFont val="Arial"/>
          </rPr>
          <t>======
ID#AAAAL6PCx7o
Clauber Bridi    (2021-04-05 11:24:37)
Informar a quantidade de tratores com roçadeira
======
ID#AAAAL6PCx60
Clauber Bridi    (2021-04-05 11:24:37)
Informar a vida útil estimada para a roçadeira, em anos</t>
        </r>
      </text>
    </comment>
    <comment ref="D119" authorId="0">
      <text>
        <r>
          <rPr>
            <sz val="10"/>
            <color rgb="FF000000"/>
            <rFont val="Arial"/>
          </rPr>
          <t>======
ID#AAAAL6PCx7c
Clauber Bridi    (2021-04-05 11:24:37)
Informar o preço unitário do equipamento roçadeira</t>
        </r>
      </text>
    </comment>
    <comment ref="C120" authorId="0">
      <text>
        <r>
          <rPr>
            <sz val="10"/>
            <color rgb="FF000000"/>
            <rFont val="Arial"/>
          </rPr>
          <t>======
ID#AAAAL6PCx5w
Clauber Bridi    (2021-04-05 11:24:37)
Na elaboração do orçamento-base da licitação, informar 0 (zero). Na proposta da licitante, informar a idade do compactador proposto.</t>
        </r>
      </text>
    </comment>
    <comment ref="C121" authorId="0">
      <text>
        <r>
          <rPr>
            <sz val="10"/>
            <color rgb="FF000000"/>
            <rFont val="Arial"/>
          </rPr>
          <t>======
ID#AAAAL6PCx7Q
Clauber Bridi    (2021-04-05 11:24:37)
Informar o valor da depreciação do compactador, adotando o valor sugerido pelo TCE ou outro valor estimado</t>
        </r>
      </text>
    </comment>
    <comment ref="C125" authorId="0">
      <text>
        <r>
          <rPr>
            <sz val="10"/>
            <color rgb="FF000000"/>
            <rFont val="Arial"/>
          </rPr>
          <t>======
ID#AAAAL6PCx6o
Clauber Bridi    (2021-04-05 11:24:37)
Informar a taxa de juros anual para remuneração do capital. Recomenda-se o uso da Taxa SELIC</t>
        </r>
      </text>
    </comment>
    <comment ref="D135" authorId="0">
      <text>
        <r>
          <rPr>
            <sz val="10"/>
            <color rgb="FF000000"/>
            <rFont val="Arial"/>
          </rPr>
          <t>======
ID#AAAAL6PCx7M
Clauber Bridi    (2021-04-05 11:24:37)
Informar o valor do seguro obrigatório e licenciamento anual de um caminhão</t>
        </r>
      </text>
    </comment>
    <comment ref="B141" authorId="0">
      <text>
        <r>
          <rPr>
            <sz val="10"/>
            <color rgb="FF000000"/>
            <rFont val="Arial"/>
          </rPr>
          <t>======
ID#AAAAL6PCx8w
Clauber Bridi    (2021-04-05 11:24:37)
Informar a quantidade de horas trabalhadas, de acordo com o projeto básico</t>
        </r>
      </text>
    </comment>
    <comment ref="C144" authorId="0">
      <text>
        <r>
          <rPr>
            <sz val="10"/>
            <color rgb="FF000000"/>
            <rFont val="Arial"/>
          </rPr>
          <t>======
ID#AAAAL6PCx78
Clauber Bridi    (2021-04-05 11:24:37)
Informar o consumo estimado do veículo em L/h</t>
        </r>
      </text>
    </comment>
    <comment ref="D144" authorId="0">
      <text>
        <r>
          <rPr>
            <sz val="10"/>
            <color rgb="FF000000"/>
            <rFont val="Arial"/>
          </rPr>
          <t>======
ID#AAAAL6PCx8Y
Clauber Bridi    (2021-04-05 11:24:37)
Informar o preço unitário do combustivel</t>
        </r>
      </text>
    </comment>
    <comment ref="C146" authorId="0">
      <text>
        <r>
          <rPr>
            <sz val="10"/>
            <color rgb="FF000000"/>
            <rFont val="Arial"/>
          </rPr>
          <t>======
ID#AAAAL6PCx80
Clauber Bridi    (2021-04-05 11:24:37)
Informar o consumo de óleo do motor a cada 250h</t>
        </r>
      </text>
    </comment>
    <comment ref="C148" authorId="0">
      <text>
        <r>
          <rPr>
            <sz val="10"/>
            <color rgb="FF000000"/>
            <rFont val="Arial"/>
          </rPr>
          <t>======
ID#AAAAL6PCx54
Clauber Bridi    (2021-04-05 11:24:37)
Informar o consumo de óleo hidráulico a cada 250h</t>
        </r>
      </text>
    </comment>
    <comment ref="D148" authorId="0">
      <text>
        <r>
          <rPr>
            <sz val="10"/>
            <color rgb="FF000000"/>
            <rFont val="Arial"/>
          </rPr>
          <t>======
ID#AAAAL6PCx7w
Clauber Bridi    (2021-04-05 11:24:37)
Informar o preço unitário do litro do óleo hidráulico</t>
        </r>
      </text>
    </comment>
    <comment ref="C150" authorId="0">
      <text>
        <r>
          <rPr>
            <sz val="10"/>
            <color rgb="FF000000"/>
            <rFont val="Arial"/>
          </rPr>
          <t>======
ID#AAAAL6PCx64
Clauber Bridi    (2021-04-05 11:24:37)
Informar o consumo de graxa a cada 250h</t>
        </r>
      </text>
    </comment>
    <comment ref="D150" authorId="0">
      <text>
        <r>
          <rPr>
            <sz val="10"/>
            <color rgb="FF000000"/>
            <rFont val="Arial"/>
          </rPr>
          <t>======
ID#AAAAL6PCx7U
Clauber Bridi    (2021-04-05 11:24:37)
Informar o preço unitário do litro da graxa</t>
        </r>
      </text>
    </comment>
    <comment ref="D157" authorId="0">
      <text>
        <r>
          <rPr>
            <sz val="10"/>
            <color rgb="FF000000"/>
            <rFont val="Arial"/>
          </rPr>
          <t>======
ID#AAAAL6PCx6I
Clauber Bridi    (2021-04-05 11:24:37)
Informar o custo de manutenção em R$/km rodado</t>
        </r>
      </text>
    </comment>
    <comment ref="C162" authorId="0">
      <text>
        <r>
          <rPr>
            <sz val="10"/>
            <color rgb="FF000000"/>
            <rFont val="Arial"/>
          </rPr>
          <t>======
ID#AAAAL6PCx5U
Clauber Bridi    (2021-04-05 11:24:37)
Informar a quantidade de pneus novos de 1 Trator</t>
        </r>
      </text>
    </comment>
    <comment ref="D162" authorId="0">
      <text>
        <r>
          <rPr>
            <sz val="10"/>
            <color rgb="FF000000"/>
            <rFont val="Arial"/>
          </rPr>
          <t>======
ID#AAAAL6PCx7k
Clauber Bridi    (2021-04-05 11:24:37)
Informar o preço unitário de cada pneu</t>
        </r>
      </text>
    </comment>
    <comment ref="C163" authorId="0">
      <text>
        <r>
          <rPr>
            <sz val="10"/>
            <color rgb="FF000000"/>
            <rFont val="Arial"/>
          </rPr>
          <t>======
ID#AAAAL6PCx8g
Clauber Bridi    (2021-04-05 11:24:37)
Informar o número de recapagens por pneu</t>
        </r>
      </text>
    </comment>
    <comment ref="D164" authorId="0">
      <text>
        <r>
          <rPr>
            <sz val="10"/>
            <color rgb="FF000000"/>
            <rFont val="Arial"/>
          </rPr>
          <t>======
ID#AAAAL6PCx5s
Clauber Bridi    (2021-04-05 11:24:37)
Informar o preço unitário de cada recapagem</t>
        </r>
      </text>
    </comment>
    <comment ref="C165" authorId="0">
      <text>
        <r>
          <rPr>
            <sz val="10"/>
            <color rgb="FF000000"/>
            <rFont val="Arial"/>
          </rPr>
          <t>======
ID#AAAAL6PCx7E
Clauber Bridi    (2021-04-05 11:24:37)
Informar a durabilidade média dos pneus considerando todas as recapagens, em h</t>
        </r>
      </text>
    </comment>
    <comment ref="A172" authorId="0">
      <text>
        <r>
          <rPr>
            <sz val="10"/>
            <color rgb="FF000000"/>
            <rFont val="Arial"/>
          </rPr>
          <t>======
ID#AAAAL6PCx5k
Clauber Bridi    (2021-04-05 11:24:37)
Especificar somente quando for exigido no Projeto Básico</t>
        </r>
      </text>
    </comment>
    <comment ref="D175" authorId="0">
      <text>
        <r>
          <rPr>
            <sz val="10"/>
            <color rgb="FF000000"/>
            <rFont val="Arial"/>
          </rPr>
          <t>======
ID#AAAAL6PCx5M
Clauber Bridi    (2021-04-05 11:24:37)
Informar o valor total para instalação do equipamento de monitoramento da frota, se houver previsão no Projeto Básico</t>
        </r>
      </text>
    </comment>
    <comment ref="D177" authorId="0">
      <text>
        <r>
          <rPr>
            <sz val="10"/>
            <color rgb="FF000000"/>
            <rFont val="Arial"/>
          </rPr>
          <t>======
ID#AAAAL6PCx8I
Clauber Bridi    (2021-04-05 11:24:37)
Informar o valor unitário mensal para manutenção dos equipamentos de monitoramento</t>
        </r>
      </text>
    </comment>
    <comment ref="C188" authorId="0">
      <text>
        <r>
          <rPr>
            <sz val="10"/>
            <color rgb="FF000000"/>
            <rFont val="Arial"/>
          </rPr>
          <t>======
ID#AAAAL6PCx6k
Clauber Bridi    (2021-04-05 11:24:37)
Preencher a aba 4.BDI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gSLwIDmJNClQFR0zMmJyhefkL2Fw=="/>
    </ext>
  </extLst>
</comments>
</file>

<file path=xl/comments2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color rgb="FF000000"/>
            <rFont val="Arial"/>
          </rPr>
          <t>======
ID#AAAAL6PCx68
Clauber Bridi    (2021-04-05 11:24:37)
Informar o % de Administração Central estimado</t>
        </r>
      </text>
    </comment>
    <comment ref="C13" authorId="0">
      <text>
        <r>
          <rPr>
            <sz val="10"/>
            <color rgb="FF000000"/>
            <rFont val="Arial"/>
          </rPr>
          <t>======
ID#AAAAL6PCx5Q
Clauber Bridi    (2021-04-05 11:24:37)
Informar o % de Seguros, Riscos e Garantia estimado</t>
        </r>
      </text>
    </comment>
    <comment ref="C14" authorId="0">
      <text>
        <r>
          <rPr>
            <sz val="10"/>
            <color rgb="FF000000"/>
            <rFont val="Arial"/>
          </rPr>
          <t>======
ID#AAAAL6PCx7s
Clauber Bridi    (2021-04-05 11:24:37)
Informar o % de Lucro estimado</t>
        </r>
      </text>
    </comment>
    <comment ref="E15" authorId="0">
      <text>
        <r>
          <rPr>
            <sz val="10"/>
            <color rgb="FF000000"/>
            <rFont val="Arial"/>
          </rPr>
          <t>======
ID#AAAAL6PCx8o
Clauber Bridi    (2021-04-05 11:24:37)
Informar o valor anual da taxa financeira, em percentual. Admite-se utilizar a SELIC</t>
        </r>
      </text>
    </comment>
    <comment ref="C16" authorId="0">
      <text>
        <r>
          <rPr>
            <sz val="10"/>
            <color rgb="FF000000"/>
            <rFont val="Arial"/>
          </rPr>
          <t>======
ID#AAAAL6PCx8k
Clauber Bridi    (2021-04-05 11:24:37)
Informar o percentual de ISS, de acordo com a legislação tributária do município onde serão prestados os serviços. De 2% até o limite de 5%.</t>
        </r>
      </text>
    </comment>
    <comment ref="E16" authorId="0">
      <text>
        <r>
          <rPr>
            <sz val="10"/>
            <color rgb="FF000000"/>
            <rFont val="Arial"/>
          </rPr>
          <t>======
ID#AAAAL6PCx6E
Clauber Bridi    (2021-04-05 11:24:37)
Informar a média de dias úteis entre data de pagamento prevista no contrato e a data final do período de adimplemento da parcela</t>
        </r>
      </text>
    </comment>
    <comment ref="C17" authorId="0">
      <text>
        <r>
          <rPr>
            <sz val="10"/>
            <color rgb="FF000000"/>
            <rFont val="Arial"/>
          </rPr>
          <t>======
ID#AAAAL6PCx8E
Clauber Bridi    (2021-04-05 11:24:37)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jQeaIsSqwXeChvcsrVEwkbil0CiQ=="/>
    </ext>
  </extLst>
</comments>
</file>

<file path=xl/sharedStrings.xml><?xml version="1.0" encoding="utf-8"?>
<sst xmlns="http://schemas.openxmlformats.org/spreadsheetml/2006/main" count="397" uniqueCount="258">
  <si>
    <t>Planilha de Composição de Custos</t>
  </si>
  <si>
    <t>Orçamento Sintético</t>
  </si>
  <si>
    <t>Descrição do Item</t>
  </si>
  <si>
    <t>Custo (R$/mês)</t>
  </si>
  <si>
    <t>%</t>
  </si>
  <si>
    <t xml:space="preserve">  3.1.1. Depreciação  </t>
  </si>
  <si>
    <t xml:space="preserve">  3.1.2. Remuneração do Capital  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</si>
  <si>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</si>
  <si>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</si>
  <si>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</si>
  <si>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</si>
  <si>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</si>
  <si>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</si>
  <si>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</si>
  <si>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</si>
  <si>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</si>
  <si>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</si>
  <si>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</si>
  <si>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</si>
  <si>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</si>
  <si>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</si>
  <si>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</si>
  <si>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</si>
  <si>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</si>
  <si>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</si>
  <si>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</si>
  <si>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</si>
  <si>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</si>
  <si>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</si>
  <si>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</si>
  <si>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</si>
  <si>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</si>
  <si>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</si>
  <si>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</si>
  <si>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</si>
  <si>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1.2. Auxiliar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</si>
  <si>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</si>
  <si>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1.3. Vale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</si>
  <si>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</si>
  <si>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Vale Transporte</t>
  </si>
  <si>
    <t>Dias Trabalhados por mês</t>
  </si>
  <si>
    <t>dia</t>
  </si>
  <si>
    <t>Auxiliar</t>
  </si>
  <si>
    <t>vale</t>
  </si>
  <si>
    <t>Motorista</t>
  </si>
  <si>
    <t>1.4. Vale-refeição (diário)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</si>
  <si>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</si>
  <si>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</si>
  <si>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1.5.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</si>
  <si>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</si>
  <si>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Mão-de-obra (R$/mês)</t>
  </si>
  <si>
    <t>2. Uniformes e Equipamentos de Proteção Individual</t>
  </si>
  <si>
    <t>2.1. Uniformes e EPIs</t>
  </si>
  <si>
    <t>Durabilidade (meses)</t>
  </si>
  <si>
    <t>Camiseta e calça</t>
  </si>
  <si>
    <t>Luva</t>
  </si>
  <si>
    <t>Protetor auricular</t>
  </si>
  <si>
    <t>Botina de borracha</t>
  </si>
  <si>
    <t>Custo Mensal com Uniformes e EPIs (R$/mês)</t>
  </si>
  <si>
    <t>3. Veículos e Equipamentos</t>
  </si>
  <si>
    <t>3.1.1.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</si>
  <si>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</si>
  <si>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</si>
  <si>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</si>
  <si>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</si>
  <si>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</si>
  <si>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</si>
  <si>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</t>
  </si>
  <si>
    <t>Total da frota</t>
  </si>
  <si>
    <t>3.1.2.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</si>
  <si>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</si>
  <si>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</si>
  <si>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</si>
  <si>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</si>
  <si>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</si>
  <si>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</si>
  <si>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3.1.3.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</si>
  <si>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</si>
  <si>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</si>
  <si>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</si>
  <si>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Impostos e seguros mensais</t>
  </si>
  <si>
    <t>3.1.4. Consumos</t>
  </si>
  <si>
    <t>Quantidade de horas trabalhadas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</si>
  <si>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</si>
  <si>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</si>
  <si>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h trabalhada</t>
  </si>
  <si>
    <t>L/h</t>
  </si>
  <si>
    <t>Custo mensal com óleo diesel</t>
  </si>
  <si>
    <t>horas</t>
  </si>
  <si>
    <t xml:space="preserve">Custo de óleo do motor </t>
  </si>
  <si>
    <t>l/250 h</t>
  </si>
  <si>
    <t>Custo mensal com óleo do motor</t>
  </si>
  <si>
    <t>Custo de óleo hidráulico</t>
  </si>
  <si>
    <t>Custo mensal com óleo hidráulico</t>
  </si>
  <si>
    <t>Custo de graxa</t>
  </si>
  <si>
    <t>kg/250 h</t>
  </si>
  <si>
    <t>Custo mensal com graxa</t>
  </si>
  <si>
    <t>Custo com consumos</t>
  </si>
  <si>
    <t>R$/h trabalhada</t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</si>
  <si>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</si>
  <si>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</si>
  <si>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dos caminhões</t>
  </si>
  <si>
    <t>R$/km rodado</t>
  </si>
  <si>
    <t>3.1.6. Pneus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</si>
  <si>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</si>
  <si>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jogo de pneus</t>
  </si>
  <si>
    <t>Número de recapagens por pneu</t>
  </si>
  <si>
    <t>Custo de recapagem</t>
  </si>
  <si>
    <r>
      <rPr>
        <sz val="10"/>
        <color theme="1"/>
        <rFont val="Arial"/>
      </rPr>
      <t>Custo jg. compl. + 1</t>
    </r>
    <r>
      <rPr>
        <sz val="10"/>
        <color theme="1"/>
        <rFont val="Arial"/>
      </rPr>
      <t xml:space="preserve"> recap./ km rodado</t>
    </r>
  </si>
  <si>
    <t>h/jogo</t>
  </si>
  <si>
    <t>Custo mensal com pneus</t>
  </si>
  <si>
    <t>h</t>
  </si>
  <si>
    <t>Custo Mensal com Veículos e Equipamentos (R$/mês)</t>
  </si>
  <si>
    <t>4. Monitoramento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</si>
  <si>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</si>
  <si>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</si>
  <si>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</si>
  <si>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</si>
  <si>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</si>
  <si>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</si>
  <si>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</si>
  <si>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</si>
  <si>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</si>
  <si>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</si>
  <si>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</si>
  <si>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CUSTO MENSAL COM BDI</t>
  </si>
  <si>
    <t xml:space="preserve"> (R$/mês)</t>
  </si>
  <si>
    <t xml:space="preserve">PREÇO MENSAL TOTAL </t>
  </si>
  <si>
    <t>(R$/mês)</t>
  </si>
  <si>
    <t xml:space="preserve">PRODUTIVIDADE </t>
  </si>
  <si>
    <t>(h/mês)</t>
  </si>
  <si>
    <t xml:space="preserve">PREÇO POR HORA </t>
  </si>
  <si>
    <t>(R$/h)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</si>
  <si>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</si>
  <si>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</si>
  <si>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</si>
  <si>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</si>
  <si>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</si>
  <si>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</si>
  <si>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</si>
  <si>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</si>
  <si>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</si>
  <si>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</si>
  <si>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</si>
  <si>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</si>
  <si>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</si>
  <si>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</si>
  <si>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</si>
  <si>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</si>
  <si>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</si>
  <si>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</si>
  <si>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</si>
  <si>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</si>
  <si>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</si>
  <si>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</si>
  <si>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</si>
  <si>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</si>
  <si>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</si>
  <si>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</si>
  <si>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</si>
  <si>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</si>
  <si>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</si>
  <si>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</si>
  <si>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</si>
  <si>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</si>
  <si>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</si>
  <si>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</si>
  <si>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</si>
  <si>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</si>
  <si>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</si>
  <si>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</si>
  <si>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</si>
  <si>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</si>
  <si>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</si>
  <si>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</si>
  <si>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</si>
  <si>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</si>
  <si>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</si>
  <si>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</si>
  <si>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</si>
  <si>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</si>
  <si>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</si>
  <si>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</si>
  <si>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</si>
  <si>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</si>
  <si>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</si>
  <si>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</si>
  <si>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</si>
  <si>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</si>
  <si>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</si>
  <si>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3.1. Veículo Trator 75hp com roçadeira articulada</t>
  </si>
  <si>
    <t>CÁLCULO DAS VERBAS INDENIZATÓRIAS CNAE 81290</t>
  </si>
  <si>
    <t>3. CAGED</t>
  </si>
  <si>
    <t>Rio Grande do Sul  -  Atividades de limpeza não especificadas anteriormente - CNAE 81290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</si>
  <si>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</si>
  <si>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</si>
  <si>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</si>
  <si>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</si>
  <si>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</si>
  <si>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</si>
  <si>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</si>
  <si>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</si>
  <si>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</si>
  <si>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</si>
  <si>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</si>
  <si>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</si>
  <si>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</si>
  <si>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</si>
  <si>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</si>
  <si>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</si>
  <si>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</si>
  <si>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</si>
  <si>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</si>
  <si>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</si>
  <si>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</si>
  <si>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</si>
  <si>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</si>
  <si>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</si>
  <si>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</si>
  <si>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</si>
  <si>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</si>
  <si>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</si>
  <si>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</si>
  <si>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</si>
  <si>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</si>
  <si>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</si>
  <si>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</si>
  <si>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</si>
  <si>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</si>
  <si>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</si>
  <si>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</si>
  <si>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</si>
  <si>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</si>
  <si>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</si>
  <si>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</si>
  <si>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</si>
  <si>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</si>
  <si>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</si>
  <si>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</si>
  <si>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</si>
  <si>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</si>
  <si>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</si>
  <si>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</si>
  <si>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</si>
  <si>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</si>
  <si>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</si>
  <si>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</si>
  <si>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</si>
  <si>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</si>
  <si>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</si>
  <si>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</si>
  <si>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</si>
  <si>
    <t>1.1.Operador</t>
  </si>
  <si>
    <t>Cone de sinalização</t>
  </si>
  <si>
    <t xml:space="preserve">1. Locação de Trator com Roçadeira Articulada </t>
  </si>
  <si>
    <t>PREÇO TOTAL MENSAL</t>
  </si>
  <si>
    <t>PREÇO POR HORA</t>
  </si>
  <si>
    <t>3.1. 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</si>
</sst>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(* #,##0_);_(* \(#,##0\);_(* &quot;-&quot;??_);_(@_)"/>
    <numFmt numFmtId="168" formatCode="_-* #,##0.00_-;\-* #,##0.00_-;_-* &quot;-&quot;??_-;_-@"/>
    <numFmt numFmtId="169" formatCode="_(* #,##0.000_);_(* \(#,##0.000\);_(* &quot;-&quot;??_);_(@_)"/>
    <numFmt numFmtId="170" formatCode="0.0000"/>
  </numFmts>
  <fonts count="29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9"/>
      <color theme="1"/>
      <name val="Arial"/>
    </font>
    <font>
      <sz val="8"/>
      <color theme="1"/>
      <name val="Arial"/>
    </font>
    <font>
      <u/>
      <sz val="10"/>
      <color rgb="FF0000FF"/>
      <name val="Arial"/>
    </font>
    <font>
      <sz val="10"/>
      <color rgb="FFFF0000"/>
      <name val="Arial"/>
    </font>
    <font>
      <sz val="9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b/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3"/>
      <color theme="1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sz val="10"/>
      <color theme="1"/>
      <name val="Calibri"/>
    </font>
    <font>
      <sz val="12"/>
      <color theme="1"/>
      <name val="Arial"/>
    </font>
    <font>
      <b/>
      <u/>
      <sz val="9"/>
      <color theme="1"/>
      <name val="Arial"/>
    </font>
    <font>
      <vertAlign val="subscript"/>
      <sz val="12"/>
      <color rgb="FF000000"/>
      <name val="Arial"/>
    </font>
    <font>
      <sz val="12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9" fontId="7" fillId="3" borderId="35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7" fillId="4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167" fontId="1" fillId="0" borderId="18" xfId="0" applyNumberFormat="1" applyFont="1" applyBorder="1" applyAlignment="1">
      <alignment horizontal="center" vertical="center"/>
    </xf>
    <xf numFmtId="0" fontId="1" fillId="3" borderId="40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7" fontId="1" fillId="0" borderId="18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167" fontId="1" fillId="0" borderId="46" xfId="0" applyNumberFormat="1" applyFont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46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9" fillId="4" borderId="2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13" fontId="1" fillId="3" borderId="18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164" fontId="9" fillId="4" borderId="5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3" borderId="18" xfId="0" applyNumberFormat="1" applyFont="1" applyFill="1" applyBorder="1" applyAlignment="1">
      <alignment vertical="center"/>
    </xf>
    <xf numFmtId="4" fontId="1" fillId="3" borderId="18" xfId="0" applyNumberFormat="1" applyFont="1" applyFill="1" applyBorder="1" applyAlignment="1">
      <alignment horizontal="center" vertical="center"/>
    </xf>
    <xf numFmtId="169" fontId="1" fillId="3" borderId="18" xfId="0" applyNumberFormat="1" applyFont="1" applyFill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167" fontId="7" fillId="0" borderId="18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64" fontId="15" fillId="7" borderId="10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 vertical="center"/>
    </xf>
    <xf numFmtId="0" fontId="1" fillId="0" borderId="0" xfId="0" applyFont="1"/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52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0" fontId="17" fillId="0" borderId="24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10" fontId="18" fillId="0" borderId="24" xfId="0" applyNumberFormat="1" applyFont="1" applyBorder="1" applyAlignment="1">
      <alignment horizontal="right" vertical="center"/>
    </xf>
    <xf numFmtId="0" fontId="17" fillId="8" borderId="52" xfId="0" applyFont="1" applyFill="1" applyBorder="1" applyAlignment="1">
      <alignment horizontal="left" vertical="center"/>
    </xf>
    <xf numFmtId="0" fontId="18" fillId="8" borderId="18" xfId="0" applyFont="1" applyFill="1" applyBorder="1" applyAlignment="1">
      <alignment horizontal="left" vertical="center"/>
    </xf>
    <xf numFmtId="10" fontId="18" fillId="8" borderId="24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0" fontId="1" fillId="0" borderId="0" xfId="0" applyNumberFormat="1" applyFont="1"/>
    <xf numFmtId="9" fontId="17" fillId="0" borderId="0" xfId="0" applyNumberFormat="1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/>
    </xf>
    <xf numFmtId="0" fontId="17" fillId="9" borderId="53" xfId="0" applyFont="1" applyFill="1" applyBorder="1" applyAlignment="1">
      <alignment horizontal="left" vertical="center"/>
    </xf>
    <xf numFmtId="0" fontId="18" fillId="9" borderId="20" xfId="0" applyFont="1" applyFill="1" applyBorder="1" applyAlignment="1">
      <alignment horizontal="left" vertical="center"/>
    </xf>
    <xf numFmtId="10" fontId="18" fillId="9" borderId="5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0" fontId="18" fillId="0" borderId="0" xfId="0" applyNumberFormat="1" applyFont="1" applyAlignment="1">
      <alignment horizontal="right" vertical="center"/>
    </xf>
    <xf numFmtId="0" fontId="0" fillId="6" borderId="40" xfId="0" applyFont="1" applyFill="1" applyBorder="1" applyAlignment="1">
      <alignment horizontal="left" vertical="center"/>
    </xf>
    <xf numFmtId="10" fontId="17" fillId="0" borderId="0" xfId="0" applyNumberFormat="1" applyFont="1" applyAlignment="1">
      <alignment horizontal="right" vertical="center"/>
    </xf>
    <xf numFmtId="0" fontId="17" fillId="6" borderId="4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1" fillId="0" borderId="0" xfId="0" applyFont="1"/>
    <xf numFmtId="0" fontId="1" fillId="0" borderId="0" xfId="0" applyFont="1" applyAlignment="1">
      <alignment horizontal="left"/>
    </xf>
    <xf numFmtId="0" fontId="5" fillId="0" borderId="16" xfId="0" applyFont="1" applyBorder="1"/>
    <xf numFmtId="0" fontId="4" fillId="0" borderId="19" xfId="0" applyFont="1" applyBorder="1"/>
    <xf numFmtId="0" fontId="5" fillId="0" borderId="55" xfId="0" applyFont="1" applyBorder="1"/>
    <xf numFmtId="0" fontId="5" fillId="3" borderId="24" xfId="0" applyFont="1" applyFill="1" applyBorder="1"/>
    <xf numFmtId="0" fontId="5" fillId="0" borderId="52" xfId="0" applyFont="1" applyBorder="1"/>
    <xf numFmtId="0" fontId="4" fillId="0" borderId="52" xfId="0" applyFont="1" applyBorder="1"/>
    <xf numFmtId="0" fontId="4" fillId="3" borderId="24" xfId="0" applyFont="1" applyFill="1" applyBorder="1"/>
    <xf numFmtId="0" fontId="4" fillId="0" borderId="55" xfId="0" applyFont="1" applyBorder="1"/>
    <xf numFmtId="0" fontId="4" fillId="3" borderId="56" xfId="0" applyFont="1" applyFill="1" applyBorder="1"/>
    <xf numFmtId="0" fontId="4" fillId="0" borderId="57" xfId="0" applyFont="1" applyBorder="1"/>
    <xf numFmtId="0" fontId="4" fillId="0" borderId="58" xfId="0" applyFont="1" applyBorder="1"/>
    <xf numFmtId="0" fontId="4" fillId="3" borderId="59" xfId="0" applyFont="1" applyFill="1" applyBorder="1"/>
    <xf numFmtId="0" fontId="4" fillId="0" borderId="24" xfId="0" applyFont="1" applyBorder="1"/>
    <xf numFmtId="0" fontId="1" fillId="0" borderId="45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0" xfId="0" applyFont="1"/>
    <xf numFmtId="0" fontId="5" fillId="0" borderId="60" xfId="0" applyFont="1" applyBorder="1"/>
    <xf numFmtId="10" fontId="5" fillId="0" borderId="24" xfId="0" applyNumberFormat="1" applyFont="1" applyBorder="1"/>
    <xf numFmtId="170" fontId="5" fillId="0" borderId="24" xfId="0" applyNumberFormat="1" applyFont="1" applyBorder="1"/>
    <xf numFmtId="0" fontId="5" fillId="0" borderId="24" xfId="0" applyFont="1" applyBorder="1"/>
    <xf numFmtId="9" fontId="5" fillId="0" borderId="24" xfId="0" applyNumberFormat="1" applyFont="1" applyBorder="1"/>
    <xf numFmtId="0" fontId="5" fillId="0" borderId="28" xfId="0" applyFont="1" applyBorder="1"/>
    <xf numFmtId="9" fontId="5" fillId="0" borderId="30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9" fontId="4" fillId="0" borderId="52" xfId="0" applyNumberFormat="1" applyFont="1" applyBorder="1"/>
    <xf numFmtId="9" fontId="4" fillId="0" borderId="18" xfId="0" applyNumberFormat="1" applyFont="1" applyBorder="1" applyAlignment="1">
      <alignment horizontal="center"/>
    </xf>
    <xf numFmtId="9" fontId="4" fillId="0" borderId="24" xfId="0" applyNumberFormat="1" applyFont="1" applyBorder="1"/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center" vertical="center"/>
    </xf>
    <xf numFmtId="10" fontId="4" fillId="0" borderId="52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24" xfId="0" applyNumberFormat="1" applyFont="1" applyBorder="1" applyAlignment="1">
      <alignment horizontal="right"/>
    </xf>
    <xf numFmtId="0" fontId="4" fillId="0" borderId="5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/>
    </xf>
    <xf numFmtId="10" fontId="4" fillId="0" borderId="24" xfId="0" applyNumberFormat="1" applyFont="1" applyBorder="1"/>
    <xf numFmtId="0" fontId="4" fillId="0" borderId="52" xfId="0" applyFont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0" borderId="53" xfId="0" applyFont="1" applyBorder="1" applyAlignment="1">
      <alignment horizontal="left" vertical="center"/>
    </xf>
    <xf numFmtId="10" fontId="4" fillId="3" borderId="5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0" fontId="4" fillId="0" borderId="64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65" xfId="0" applyFont="1" applyBorder="1" applyAlignment="1">
      <alignment vertical="center"/>
    </xf>
    <xf numFmtId="0" fontId="5" fillId="8" borderId="66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vertical="center"/>
    </xf>
    <xf numFmtId="10" fontId="5" fillId="8" borderId="35" xfId="0" applyNumberFormat="1" applyFont="1" applyFill="1" applyBorder="1" applyAlignment="1">
      <alignment horizontal="center" vertical="center" wrapText="1"/>
    </xf>
    <xf numFmtId="10" fontId="4" fillId="0" borderId="53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54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/>
    <xf numFmtId="0" fontId="18" fillId="0" borderId="52" xfId="0" applyFont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2" fontId="17" fillId="11" borderId="18" xfId="0" applyNumberFormat="1" applyFont="1" applyFill="1" applyBorder="1" applyAlignment="1">
      <alignment horizontal="right" vertical="center"/>
    </xf>
    <xf numFmtId="0" fontId="17" fillId="0" borderId="53" xfId="0" applyFont="1" applyBorder="1" applyAlignment="1">
      <alignment horizontal="center" vertical="center"/>
    </xf>
    <xf numFmtId="2" fontId="17" fillId="11" borderId="20" xfId="0" applyNumberFormat="1" applyFont="1" applyFill="1" applyBorder="1" applyAlignment="1">
      <alignment horizontal="right" vertical="center"/>
    </xf>
    <xf numFmtId="0" fontId="2" fillId="10" borderId="68" xfId="0" applyFont="1" applyFill="1" applyBorder="1" applyAlignment="1">
      <alignment horizontal="center"/>
    </xf>
    <xf numFmtId="0" fontId="1" fillId="0" borderId="69" xfId="0" applyFont="1" applyBorder="1"/>
    <xf numFmtId="0" fontId="23" fillId="0" borderId="69" xfId="0" applyFont="1" applyBorder="1" applyAlignment="1">
      <alignment horizontal="left"/>
    </xf>
    <xf numFmtId="0" fontId="23" fillId="0" borderId="70" xfId="0" applyFont="1" applyBorder="1" applyAlignment="1">
      <alignment horizontal="left"/>
    </xf>
    <xf numFmtId="164" fontId="1" fillId="0" borderId="39" xfId="0" applyNumberFormat="1" applyFont="1" applyBorder="1" applyAlignment="1">
      <alignment horizontal="center" vertical="center"/>
    </xf>
    <xf numFmtId="164" fontId="1" fillId="3" borderId="71" xfId="0" applyNumberFormat="1" applyFont="1" applyFill="1" applyBorder="1" applyAlignment="1">
      <alignment vertical="center"/>
    </xf>
    <xf numFmtId="164" fontId="7" fillId="0" borderId="31" xfId="0" applyNumberFormat="1" applyFont="1" applyBorder="1" applyAlignment="1">
      <alignment horizontal="left" vertical="center"/>
    </xf>
    <xf numFmtId="4" fontId="7" fillId="0" borderId="32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vertical="center"/>
    </xf>
    <xf numFmtId="166" fontId="7" fillId="0" borderId="50" xfId="0" applyNumberFormat="1" applyFont="1" applyBorder="1" applyAlignment="1">
      <alignment vertical="center"/>
    </xf>
    <xf numFmtId="164" fontId="7" fillId="0" borderId="73" xfId="0" applyNumberFormat="1" applyFont="1" applyBorder="1" applyAlignment="1">
      <alignment horizontal="left" vertical="center"/>
    </xf>
    <xf numFmtId="0" fontId="1" fillId="0" borderId="74" xfId="0" applyFont="1" applyBorder="1" applyAlignment="1">
      <alignment vertical="center"/>
    </xf>
    <xf numFmtId="164" fontId="1" fillId="0" borderId="74" xfId="0" applyNumberFormat="1" applyFont="1" applyBorder="1" applyAlignment="1">
      <alignment vertical="center"/>
    </xf>
    <xf numFmtId="164" fontId="27" fillId="0" borderId="72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22" xfId="0" applyFont="1" applyBorder="1"/>
    <xf numFmtId="0" fontId="7" fillId="0" borderId="3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10" fillId="6" borderId="41" xfId="0" applyFont="1" applyFill="1" applyBorder="1" applyAlignment="1">
      <alignment horizontal="left" vertical="center"/>
    </xf>
    <xf numFmtId="0" fontId="3" fillId="0" borderId="42" xfId="0" applyFont="1" applyBorder="1"/>
    <xf numFmtId="0" fontId="3" fillId="0" borderId="43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6" fillId="2" borderId="9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164" fontId="7" fillId="0" borderId="16" xfId="0" applyNumberFormat="1" applyFont="1" applyBorder="1" applyAlignment="1">
      <alignment horizontal="left" vertical="center"/>
    </xf>
    <xf numFmtId="0" fontId="3" fillId="0" borderId="17" xfId="0" applyFont="1" applyBorder="1"/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51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2" fillId="10" borderId="1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3" fillId="0" borderId="63" xfId="0" applyFont="1" applyBorder="1"/>
    <xf numFmtId="0" fontId="6" fillId="1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8"/>
  <sheetViews>
    <sheetView tabSelected="1" topLeftCell="A100" workbookViewId="0">
      <selection activeCell="A111" sqref="A111"/>
    </sheetView>
  </sheetViews>
  <sheetFormatPr defaultColWidth="14.42578125" defaultRowHeight="15" customHeight="1" x14ac:dyDescent="0.2"/>
  <cols>
    <col min="1" max="1" width="44.5703125" customWidth="1"/>
    <col min="2" max="2" width="16" customWidth="1"/>
    <col min="3" max="3" width="11.85546875" customWidth="1"/>
    <col min="4" max="4" width="14.7109375" customWidth="1"/>
    <col min="5" max="5" width="15.42578125" customWidth="1"/>
    <col min="6" max="6" width="13.28515625" customWidth="1"/>
    <col min="7" max="7" width="28.140625" customWidth="1"/>
    <col min="8" max="8" width="9.140625" customWidth="1"/>
    <col min="9" max="9" width="14.5703125" customWidth="1"/>
    <col min="10" max="10" width="13.42578125" customWidth="1"/>
    <col min="11" max="26" width="9.140625" customWidth="1"/>
  </cols>
  <sheetData>
    <row r="1" spans="1:26" ht="16.5" customHeight="1" x14ac:dyDescent="0.2">
      <c r="A1" s="1"/>
      <c r="B1" s="2"/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261" t="s">
        <v>254</v>
      </c>
      <c r="B2" s="262"/>
      <c r="C2" s="262"/>
      <c r="D2" s="262"/>
      <c r="E2" s="262"/>
      <c r="F2" s="26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2">
      <c r="A3" s="264" t="s">
        <v>0</v>
      </c>
      <c r="B3" s="265"/>
      <c r="C3" s="265"/>
      <c r="D3" s="265"/>
      <c r="E3" s="265"/>
      <c r="F3" s="266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">
      <c r="A4" s="6"/>
      <c r="B4" s="2"/>
      <c r="C4" s="2"/>
      <c r="D4" s="3"/>
      <c r="E4" s="3"/>
      <c r="F4" s="7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67" t="s">
        <v>1</v>
      </c>
      <c r="B5" s="253"/>
      <c r="C5" s="253"/>
      <c r="D5" s="253"/>
      <c r="E5" s="253"/>
      <c r="F5" s="268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2</v>
      </c>
      <c r="B6" s="9"/>
      <c r="C6" s="9"/>
      <c r="D6" s="10"/>
      <c r="E6" s="11" t="s">
        <v>3</v>
      </c>
      <c r="F6" s="12" t="s">
        <v>4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3" t="str">
        <f>A38</f>
        <v>1. Mão-de-obra</v>
      </c>
      <c r="B7" s="14"/>
      <c r="C7" s="14"/>
      <c r="D7" s="14"/>
      <c r="E7" s="15">
        <f>+F90</f>
        <v>3334.0314851580306</v>
      </c>
      <c r="F7" s="16">
        <f t="shared" ref="F7:F24" si="0">IFERROR(E7/$E$24,0)</f>
        <v>0.12301510064360238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9" t="str">
        <f>A40</f>
        <v>1.1.Operador</v>
      </c>
      <c r="B8" s="20"/>
      <c r="C8" s="20"/>
      <c r="D8" s="20"/>
      <c r="E8" s="21">
        <f>F53</f>
        <v>2907.2791543887997</v>
      </c>
      <c r="F8" s="16">
        <f t="shared" si="0"/>
        <v>0.10726930425470579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tr">
        <f>A30</f>
        <v>1.2. Auxiliar</v>
      </c>
      <c r="B9" s="20"/>
      <c r="C9" s="20"/>
      <c r="D9" s="20"/>
      <c r="E9" s="21">
        <f>F68</f>
        <v>0</v>
      </c>
      <c r="F9" s="16">
        <f t="shared" si="0"/>
        <v>0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tr">
        <f>A70</f>
        <v>1.3. Vale Transporte</v>
      </c>
      <c r="B10" s="20"/>
      <c r="C10" s="20"/>
      <c r="D10" s="20"/>
      <c r="E10" s="21">
        <f>F76</f>
        <v>133.71233076923079</v>
      </c>
      <c r="F10" s="16">
        <f t="shared" si="0"/>
        <v>4.933557436422327E-3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tr">
        <f>A78</f>
        <v>1.4. Vale-refeição (diário)</v>
      </c>
      <c r="B11" s="20"/>
      <c r="C11" s="20"/>
      <c r="D11" s="20"/>
      <c r="E11" s="21">
        <f>F82</f>
        <v>215.25</v>
      </c>
      <c r="F11" s="16">
        <f t="shared" si="0"/>
        <v>7.9420366998364817E-3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9" t="str">
        <f>A84</f>
        <v>1.5. Auxílio Alimentação (mensal)</v>
      </c>
      <c r="B12" s="20"/>
      <c r="C12" s="20"/>
      <c r="D12" s="20"/>
      <c r="E12" s="21">
        <f>F88</f>
        <v>77.790000000000006</v>
      </c>
      <c r="F12" s="16">
        <f t="shared" si="0"/>
        <v>2.8702022526377702E-3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269" t="str">
        <f>A92</f>
        <v>2. Uniformes e Equipamentos de Proteção Individual</v>
      </c>
      <c r="B13" s="270"/>
      <c r="C13" s="270"/>
      <c r="D13" s="14"/>
      <c r="E13" s="15">
        <f>+F106</f>
        <v>45</v>
      </c>
      <c r="F13" s="16">
        <f t="shared" si="0"/>
        <v>1.6603561044954318E-3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2" t="str">
        <f>A108</f>
        <v>3. Veículos e Equipamentos</v>
      </c>
      <c r="B14" s="23"/>
      <c r="C14" s="14"/>
      <c r="D14" s="14"/>
      <c r="E14" s="15">
        <f>+F170</f>
        <v>16227.197875000002</v>
      </c>
      <c r="F14" s="16">
        <f t="shared" si="0"/>
        <v>0.59873171223581223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4" t="str">
        <f>A110</f>
        <v>3.1. Trator</v>
      </c>
      <c r="B15" s="25"/>
      <c r="C15" s="20"/>
      <c r="D15" s="20"/>
      <c r="E15" s="21">
        <f>SUM(E16:E21)</f>
        <v>16227.197875000002</v>
      </c>
      <c r="F15" s="16">
        <f t="shared" si="0"/>
        <v>0.59873171223581223</v>
      </c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6" t="s">
        <v>5</v>
      </c>
      <c r="B16" s="25"/>
      <c r="C16" s="20"/>
      <c r="D16" s="20"/>
      <c r="E16" s="21">
        <f>F120</f>
        <v>1629.5000000000002</v>
      </c>
      <c r="F16" s="16">
        <f t="shared" si="0"/>
        <v>6.0123339383895705E-2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6" t="s">
        <v>6</v>
      </c>
      <c r="B17" s="25"/>
      <c r="C17" s="20"/>
      <c r="D17" s="20"/>
      <c r="E17" s="21">
        <f>F130</f>
        <v>2075.901875</v>
      </c>
      <c r="F17" s="16">
        <f t="shared" si="0"/>
        <v>7.6594141121994738E-2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4" t="str">
        <f>A132</f>
        <v>3.1.3. Impostos e Seguros</v>
      </c>
      <c r="B18" s="25"/>
      <c r="C18" s="20"/>
      <c r="D18" s="20"/>
      <c r="E18" s="21">
        <f>F137</f>
        <v>262.5</v>
      </c>
      <c r="F18" s="16">
        <f t="shared" si="0"/>
        <v>9.6854106095566866E-3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4" t="str">
        <f>A139</f>
        <v>3.1.4. Consumos</v>
      </c>
      <c r="B19" s="25"/>
      <c r="C19" s="20"/>
      <c r="D19" s="20"/>
      <c r="E19" s="21">
        <f>F153</f>
        <v>11121.096</v>
      </c>
      <c r="F19" s="16">
        <f t="shared" si="0"/>
        <v>0.41033288071732732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4" t="str">
        <f>A155</f>
        <v>3.1.5. Manutenção</v>
      </c>
      <c r="B20" s="25"/>
      <c r="C20" s="20"/>
      <c r="D20" s="20"/>
      <c r="E20" s="21">
        <f>F158</f>
        <v>672</v>
      </c>
      <c r="F20" s="16">
        <f t="shared" si="0"/>
        <v>2.4794651160465114E-2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4" t="str">
        <f>A160</f>
        <v>3.1.6. Pneus</v>
      </c>
      <c r="B21" s="25"/>
      <c r="C21" s="20"/>
      <c r="D21" s="20"/>
      <c r="E21" s="21">
        <f>F167</f>
        <v>466.2</v>
      </c>
      <c r="F21" s="16">
        <f t="shared" si="0"/>
        <v>1.7201289242572675E-2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2" t="str">
        <f>A172</f>
        <v>4. Monitoramento da Frota</v>
      </c>
      <c r="B22" s="23"/>
      <c r="C22" s="14"/>
      <c r="D22" s="14"/>
      <c r="E22" s="15">
        <f>+F181</f>
        <v>103.33333333333333</v>
      </c>
      <c r="F22" s="16">
        <f t="shared" si="0"/>
        <v>3.8126695732858063E-3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thickBot="1" x14ac:dyDescent="0.25">
      <c r="A23" s="22" t="str">
        <f>A185</f>
        <v>5. Benefícios e Despesas Indiretas - BDI</v>
      </c>
      <c r="B23" s="23"/>
      <c r="C23" s="14"/>
      <c r="D23" s="14"/>
      <c r="E23" s="27">
        <f>+F191</f>
        <v>7393.0569663286105</v>
      </c>
      <c r="F23" s="16">
        <f t="shared" si="0"/>
        <v>0.27278016144280415</v>
      </c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43" t="s">
        <v>255</v>
      </c>
      <c r="B24" s="244"/>
      <c r="C24" s="245"/>
      <c r="D24" s="245"/>
      <c r="E24" s="246">
        <f>E7+E13+E14+E22+E23</f>
        <v>27102.619659819975</v>
      </c>
      <c r="F24" s="16">
        <f t="shared" si="0"/>
        <v>1</v>
      </c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47" t="s">
        <v>256</v>
      </c>
      <c r="B25" s="248"/>
      <c r="C25" s="248"/>
      <c r="D25" s="249"/>
      <c r="E25" s="250">
        <f>F198</f>
        <v>161.32511702273794</v>
      </c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thickBot="1" x14ac:dyDescent="0.25">
      <c r="A26" s="1"/>
      <c r="B26" s="1"/>
      <c r="C26" s="1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267" t="s">
        <v>7</v>
      </c>
      <c r="B27" s="253"/>
      <c r="C27" s="253"/>
      <c r="D27" s="253"/>
      <c r="E27" s="268"/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252" t="s">
        <v>8</v>
      </c>
      <c r="B28" s="253"/>
      <c r="C28" s="253"/>
      <c r="D28" s="254"/>
      <c r="E28" s="29" t="s">
        <v>9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9" t="str">
        <f>+A40</f>
        <v>1.1.Operador</v>
      </c>
      <c r="B29" s="20"/>
      <c r="C29" s="20"/>
      <c r="D29" s="30"/>
      <c r="E29" s="31">
        <f>C52</f>
        <v>1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32" t="str">
        <f>A55</f>
        <v>1.2. Auxiliar</v>
      </c>
      <c r="B30" s="33"/>
      <c r="C30" s="33"/>
      <c r="D30" s="34"/>
      <c r="E30" s="35">
        <v>0</v>
      </c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36" t="s">
        <v>10</v>
      </c>
      <c r="B31" s="37"/>
      <c r="C31" s="37"/>
      <c r="D31" s="38"/>
      <c r="E31" s="39">
        <f>SUM(E29:E30)</f>
        <v>1</v>
      </c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40"/>
      <c r="B32" s="41"/>
      <c r="C32" s="3"/>
      <c r="D32" s="3"/>
      <c r="E32" s="7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255" t="s">
        <v>11</v>
      </c>
      <c r="B33" s="256"/>
      <c r="C33" s="256"/>
      <c r="D33" s="257"/>
      <c r="E33" s="29" t="s">
        <v>9</v>
      </c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42" t="str">
        <f>+A110</f>
        <v>3.1. Trator</v>
      </c>
      <c r="B34" s="20"/>
      <c r="C34" s="20"/>
      <c r="D34" s="30"/>
      <c r="E34" s="43">
        <f>C119</f>
        <v>1</v>
      </c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"/>
      <c r="B35" s="3"/>
      <c r="C35" s="3"/>
      <c r="D35" s="1"/>
      <c r="E35" s="44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45" t="s">
        <v>12</v>
      </c>
      <c r="B36" s="46">
        <v>1</v>
      </c>
      <c r="C36" s="17"/>
      <c r="D36" s="18"/>
      <c r="E36" s="47"/>
      <c r="F36" s="18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A37" s="3"/>
      <c r="B37" s="3"/>
      <c r="C37" s="3"/>
      <c r="D37" s="1"/>
      <c r="E37" s="44"/>
      <c r="F37" s="1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8" t="s">
        <v>13</v>
      </c>
      <c r="B38" s="1"/>
      <c r="C38" s="1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48" t="s">
        <v>252</v>
      </c>
      <c r="B40" s="1"/>
      <c r="C40" s="1"/>
      <c r="D40" s="3"/>
      <c r="E40" s="3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49" t="s">
        <v>14</v>
      </c>
      <c r="B41" s="50" t="s">
        <v>15</v>
      </c>
      <c r="C41" s="50" t="s">
        <v>9</v>
      </c>
      <c r="D41" s="51" t="s">
        <v>16</v>
      </c>
      <c r="E41" s="51" t="s">
        <v>17</v>
      </c>
      <c r="F41" s="52" t="s">
        <v>18</v>
      </c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53" t="s">
        <v>19</v>
      </c>
      <c r="B42" s="54" t="s">
        <v>20</v>
      </c>
      <c r="C42" s="54">
        <v>1</v>
      </c>
      <c r="D42" s="55">
        <v>1704.19</v>
      </c>
      <c r="E42" s="56">
        <f>C42*D42</f>
        <v>1704.19</v>
      </c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3" t="s">
        <v>21</v>
      </c>
      <c r="B43" s="54" t="s">
        <v>20</v>
      </c>
      <c r="C43" s="54">
        <v>1</v>
      </c>
      <c r="D43" s="55">
        <v>1212</v>
      </c>
      <c r="E43" s="56"/>
      <c r="F43" s="3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">
      <c r="A44" s="57" t="s">
        <v>22</v>
      </c>
      <c r="B44" s="58" t="s">
        <v>23</v>
      </c>
      <c r="C44" s="59">
        <v>0</v>
      </c>
      <c r="D44" s="60">
        <f>D42/220*2</f>
        <v>15.492636363636365</v>
      </c>
      <c r="E44" s="60">
        <f t="shared" ref="E44:E45" si="1">C44*D44</f>
        <v>0</v>
      </c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57" t="s">
        <v>24</v>
      </c>
      <c r="B45" s="58" t="s">
        <v>23</v>
      </c>
      <c r="C45" s="59">
        <v>0</v>
      </c>
      <c r="D45" s="60">
        <f>D42/220*1.5</f>
        <v>11.619477272727273</v>
      </c>
      <c r="E45" s="60">
        <f t="shared" si="1"/>
        <v>0</v>
      </c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57" t="s">
        <v>25</v>
      </c>
      <c r="B46" s="58" t="s">
        <v>26</v>
      </c>
      <c r="C46" s="1"/>
      <c r="D46" s="60">
        <f>63/302*(SUM(E44:E45))</f>
        <v>0</v>
      </c>
      <c r="E46" s="60">
        <f>D46</f>
        <v>0</v>
      </c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57" t="s">
        <v>27</v>
      </c>
      <c r="B47" s="58"/>
      <c r="C47" s="61">
        <v>1</v>
      </c>
      <c r="D47" s="60"/>
      <c r="E47" s="60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57" t="s">
        <v>28</v>
      </c>
      <c r="B48" s="58" t="s">
        <v>4</v>
      </c>
      <c r="C48" s="62">
        <v>0</v>
      </c>
      <c r="D48" s="60">
        <f>IF(C47=2,SUM(E42:E46),IF(C47=1,(SUM(E42:E46))*D43/D42,0))</f>
        <v>1212</v>
      </c>
      <c r="E48" s="60">
        <f>C48*D48/100</f>
        <v>0</v>
      </c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63" t="s">
        <v>29</v>
      </c>
      <c r="B49" s="64"/>
      <c r="C49" s="64"/>
      <c r="D49" s="65"/>
      <c r="E49" s="66">
        <f>SUM(E42:E48)</f>
        <v>1704.19</v>
      </c>
      <c r="F49" s="17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57" t="s">
        <v>30</v>
      </c>
      <c r="B50" s="58" t="s">
        <v>4</v>
      </c>
      <c r="C50" s="67">
        <f>'2.Encargos Sociais'!C37*100</f>
        <v>70.595951999999997</v>
      </c>
      <c r="D50" s="60">
        <f>E49</f>
        <v>1704.19</v>
      </c>
      <c r="E50" s="60">
        <f>D50*C50/100</f>
        <v>1203.0891543887999</v>
      </c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63" t="s">
        <v>31</v>
      </c>
      <c r="B51" s="68"/>
      <c r="C51" s="68"/>
      <c r="D51" s="69"/>
      <c r="E51" s="66">
        <f>E49+E50</f>
        <v>2907.2791543887997</v>
      </c>
      <c r="F51" s="17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57" t="s">
        <v>32</v>
      </c>
      <c r="B52" s="58" t="s">
        <v>33</v>
      </c>
      <c r="C52" s="70">
        <v>1</v>
      </c>
      <c r="D52" s="60">
        <f>E51</f>
        <v>2907.2791543887997</v>
      </c>
      <c r="E52" s="60">
        <f>C52*D52</f>
        <v>2907.2791543887997</v>
      </c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71" t="s">
        <v>34</v>
      </c>
      <c r="E53" s="72">
        <f>$B$36</f>
        <v>1</v>
      </c>
      <c r="F53" s="73">
        <f>E52*E53</f>
        <v>2907.2791543887997</v>
      </c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">
      <c r="A54" s="1"/>
      <c r="B54" s="1"/>
      <c r="C54" s="1"/>
      <c r="D54" s="3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2" t="s">
        <v>35</v>
      </c>
      <c r="B55" s="1"/>
      <c r="C55" s="1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49" t="s">
        <v>14</v>
      </c>
      <c r="B56" s="50" t="s">
        <v>15</v>
      </c>
      <c r="C56" s="50" t="s">
        <v>9</v>
      </c>
      <c r="D56" s="51" t="s">
        <v>16</v>
      </c>
      <c r="E56" s="51" t="s">
        <v>17</v>
      </c>
      <c r="F56" s="52" t="s">
        <v>36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53" t="s">
        <v>19</v>
      </c>
      <c r="B57" s="54" t="s">
        <v>20</v>
      </c>
      <c r="C57" s="54">
        <v>0</v>
      </c>
      <c r="D57" s="55">
        <v>1212</v>
      </c>
      <c r="E57" s="56">
        <f>C57*D57</f>
        <v>0</v>
      </c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53" t="s">
        <v>21</v>
      </c>
      <c r="B58" s="54" t="s">
        <v>20</v>
      </c>
      <c r="C58" s="54">
        <v>1</v>
      </c>
      <c r="D58" s="55">
        <v>1212</v>
      </c>
      <c r="E58" s="56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57" t="s">
        <v>22</v>
      </c>
      <c r="B59" s="58" t="s">
        <v>23</v>
      </c>
      <c r="C59" s="59">
        <v>0</v>
      </c>
      <c r="D59" s="60">
        <f>D57/220*2</f>
        <v>11.018181818181818</v>
      </c>
      <c r="E59" s="60">
        <f t="shared" ref="E59:E60" si="2">C59*D59</f>
        <v>0</v>
      </c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57" t="s">
        <v>24</v>
      </c>
      <c r="B60" s="58" t="s">
        <v>23</v>
      </c>
      <c r="C60" s="59">
        <v>0</v>
      </c>
      <c r="D60" s="60">
        <f>D57/220*1.5</f>
        <v>8.2636363636363637</v>
      </c>
      <c r="E60" s="60">
        <f t="shared" si="2"/>
        <v>0</v>
      </c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57" t="s">
        <v>25</v>
      </c>
      <c r="B61" s="58" t="s">
        <v>26</v>
      </c>
      <c r="C61" s="1"/>
      <c r="D61" s="60">
        <f>63/302*(SUM(E59:E60))</f>
        <v>0</v>
      </c>
      <c r="E61" s="60">
        <f>D61</f>
        <v>0</v>
      </c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57" t="s">
        <v>27</v>
      </c>
      <c r="B62" s="58"/>
      <c r="C62" s="61">
        <v>1</v>
      </c>
      <c r="D62" s="60"/>
      <c r="E62" s="60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57" t="s">
        <v>28</v>
      </c>
      <c r="B63" s="58" t="s">
        <v>4</v>
      </c>
      <c r="C63" s="62">
        <v>40</v>
      </c>
      <c r="D63" s="60">
        <f>IF(C62=2,SUM(E57:E61),IF(C62=1,(SUM(E57:E61))*D58/D57,0))</f>
        <v>0</v>
      </c>
      <c r="E63" s="60">
        <f>C63*D63/100</f>
        <v>0</v>
      </c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63" t="s">
        <v>29</v>
      </c>
      <c r="B64" s="64"/>
      <c r="C64" s="64"/>
      <c r="D64" s="65"/>
      <c r="E64" s="66">
        <f>SUM(E57:E63)</f>
        <v>0</v>
      </c>
      <c r="F64" s="17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57" t="s">
        <v>30</v>
      </c>
      <c r="B65" s="58" t="s">
        <v>4</v>
      </c>
      <c r="C65" s="67">
        <f>'2.Encargos Sociais'!C37*100</f>
        <v>70.595951999999997</v>
      </c>
      <c r="D65" s="60">
        <f>E64</f>
        <v>0</v>
      </c>
      <c r="E65" s="60">
        <f>D65*C65/100</f>
        <v>0</v>
      </c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63" t="s">
        <v>31</v>
      </c>
      <c r="B66" s="68"/>
      <c r="C66" s="68"/>
      <c r="D66" s="69"/>
      <c r="E66" s="66">
        <f>E64+E65</f>
        <v>0</v>
      </c>
      <c r="F66" s="17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57" t="s">
        <v>32</v>
      </c>
      <c r="B67" s="58" t="s">
        <v>33</v>
      </c>
      <c r="C67" s="61">
        <f>E30</f>
        <v>0</v>
      </c>
      <c r="D67" s="60">
        <f>E66</f>
        <v>0</v>
      </c>
      <c r="E67" s="60">
        <f>C67*D67</f>
        <v>0</v>
      </c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71" t="s">
        <v>34</v>
      </c>
      <c r="E68" s="72">
        <f>$B$36</f>
        <v>1</v>
      </c>
      <c r="F68" s="73">
        <f>E67*E68</f>
        <v>0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48" t="s">
        <v>37</v>
      </c>
      <c r="B70" s="74"/>
      <c r="C70" s="1"/>
      <c r="D70" s="3"/>
      <c r="E70" s="1"/>
      <c r="F70" s="3"/>
      <c r="G70" s="3"/>
      <c r="H70" s="1"/>
      <c r="I70" s="75"/>
      <c r="J70" s="7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thickBot="1" x14ac:dyDescent="0.25">
      <c r="A71" s="49" t="s">
        <v>14</v>
      </c>
      <c r="B71" s="50" t="s">
        <v>15</v>
      </c>
      <c r="C71" s="50" t="s">
        <v>9</v>
      </c>
      <c r="D71" s="51" t="s">
        <v>16</v>
      </c>
      <c r="E71" s="51" t="s">
        <v>17</v>
      </c>
      <c r="F71" s="52" t="s">
        <v>38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57" t="s">
        <v>39</v>
      </c>
      <c r="B72" s="58" t="s">
        <v>26</v>
      </c>
      <c r="C72" s="76">
        <v>1</v>
      </c>
      <c r="D72" s="242">
        <v>5.15</v>
      </c>
      <c r="E72" s="60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57" t="s">
        <v>40</v>
      </c>
      <c r="B73" s="58" t="s">
        <v>41</v>
      </c>
      <c r="C73" s="77">
        <v>21</v>
      </c>
      <c r="D73" s="56"/>
      <c r="E73" s="56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78" t="s">
        <v>42</v>
      </c>
      <c r="B74" s="79" t="s">
        <v>43</v>
      </c>
      <c r="C74" s="80">
        <f>$C$73*2*C67</f>
        <v>0</v>
      </c>
      <c r="D74" s="56">
        <f>IFERROR((($C$73*2*$D$72)-(E57*0.06*C72/26))/($C$73*2),"-")</f>
        <v>5.15</v>
      </c>
      <c r="E74" s="56">
        <f t="shared" ref="E74:E75" si="3">IFERROR(C74*D74,"-")</f>
        <v>0</v>
      </c>
      <c r="F74" s="3"/>
      <c r="G74" s="3"/>
      <c r="H74" s="1"/>
      <c r="I74" s="75"/>
      <c r="J74" s="7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78" t="s">
        <v>44</v>
      </c>
      <c r="B75" s="54" t="s">
        <v>43</v>
      </c>
      <c r="C75" s="80">
        <f>$C$73*2*C52</f>
        <v>42</v>
      </c>
      <c r="D75" s="56">
        <f>IFERROR((($C$73*2*$D$72)-(E42*0.06*C73/26))/($C$73*2),"-")</f>
        <v>3.1836269230769236</v>
      </c>
      <c r="E75" s="56">
        <f t="shared" si="3"/>
        <v>133.71233076923079</v>
      </c>
      <c r="F75" s="3"/>
      <c r="G75" s="3"/>
      <c r="H75" s="1"/>
      <c r="I75" s="75"/>
      <c r="J75" s="7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58"/>
      <c r="B76" s="259"/>
      <c r="C76" s="259"/>
      <c r="D76" s="259"/>
      <c r="E76" s="260"/>
      <c r="F76" s="81">
        <f>SUM(E73:E75)</f>
        <v>133.71233076923079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3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48" t="s">
        <v>45</v>
      </c>
      <c r="B78" s="1"/>
      <c r="C78" s="1"/>
      <c r="D78" s="3"/>
      <c r="E78" s="3"/>
      <c r="F78" s="17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49" t="s">
        <v>14</v>
      </c>
      <c r="B79" s="50" t="s">
        <v>15</v>
      </c>
      <c r="C79" s="50" t="s">
        <v>9</v>
      </c>
      <c r="D79" s="51" t="s">
        <v>16</v>
      </c>
      <c r="E79" s="51" t="s">
        <v>17</v>
      </c>
      <c r="F79" s="52" t="s">
        <v>46</v>
      </c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82" t="str">
        <f>A74</f>
        <v>Auxiliar</v>
      </c>
      <c r="B80" s="58" t="s">
        <v>47</v>
      </c>
      <c r="C80" s="83">
        <f>C73*C67</f>
        <v>0</v>
      </c>
      <c r="D80" s="84">
        <v>10.25</v>
      </c>
      <c r="E80" s="85">
        <f t="shared" ref="E80:E81" si="4">C80*D80</f>
        <v>0</v>
      </c>
      <c r="F80" s="17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57" t="str">
        <f>+A75</f>
        <v>Motorista</v>
      </c>
      <c r="B81" s="58" t="s">
        <v>47</v>
      </c>
      <c r="C81" s="80">
        <f>C73</f>
        <v>21</v>
      </c>
      <c r="D81" s="84">
        <v>10.25</v>
      </c>
      <c r="E81" s="72">
        <f t="shared" si="4"/>
        <v>215.25</v>
      </c>
      <c r="F81" s="17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3"/>
      <c r="E82" s="3"/>
      <c r="F82" s="81">
        <f>SUM(E80:E81)</f>
        <v>215.25</v>
      </c>
      <c r="G82" s="3"/>
      <c r="H82" s="48"/>
      <c r="I82" s="75"/>
      <c r="J82" s="7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3"/>
      <c r="E83" s="3"/>
      <c r="F83" s="3"/>
      <c r="G83" s="3"/>
      <c r="H83" s="48"/>
      <c r="I83" s="75"/>
      <c r="J83" s="7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48" t="s">
        <v>48</v>
      </c>
      <c r="B84" s="1"/>
      <c r="C84" s="1"/>
      <c r="D84" s="3"/>
      <c r="E84" s="3"/>
      <c r="F84" s="17"/>
      <c r="G84" s="3"/>
      <c r="H84" s="1"/>
      <c r="I84" s="75"/>
      <c r="J84" s="7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49" t="s">
        <v>14</v>
      </c>
      <c r="B85" s="50" t="s">
        <v>15</v>
      </c>
      <c r="C85" s="50" t="s">
        <v>9</v>
      </c>
      <c r="D85" s="51" t="s">
        <v>16</v>
      </c>
      <c r="E85" s="51" t="s">
        <v>17</v>
      </c>
      <c r="F85" s="52" t="s">
        <v>49</v>
      </c>
      <c r="G85" s="3"/>
      <c r="H85" s="1"/>
      <c r="I85" s="75"/>
      <c r="J85" s="7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82" t="str">
        <f>A74</f>
        <v>Auxiliar</v>
      </c>
      <c r="B86" s="58" t="s">
        <v>47</v>
      </c>
      <c r="C86" s="83">
        <f>C67</f>
        <v>0</v>
      </c>
      <c r="D86" s="84">
        <v>77.790000000000006</v>
      </c>
      <c r="E86" s="85">
        <f t="shared" ref="E86:E87" si="5">C86*D86</f>
        <v>0</v>
      </c>
      <c r="F86" s="17"/>
      <c r="G86" s="3"/>
      <c r="H86" s="1"/>
      <c r="I86" s="75"/>
      <c r="J86" s="7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57" t="str">
        <f>+A81</f>
        <v>Motorista</v>
      </c>
      <c r="B87" s="58" t="s">
        <v>47</v>
      </c>
      <c r="C87" s="80">
        <f>E29</f>
        <v>1</v>
      </c>
      <c r="D87" s="84">
        <v>77.790000000000006</v>
      </c>
      <c r="E87" s="72">
        <f t="shared" si="5"/>
        <v>77.790000000000006</v>
      </c>
      <c r="F87" s="17"/>
      <c r="G87" s="3"/>
      <c r="H87" s="1"/>
      <c r="I87" s="75"/>
      <c r="J87" s="7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71" t="s">
        <v>34</v>
      </c>
      <c r="E88" s="72">
        <f>$B$36</f>
        <v>1</v>
      </c>
      <c r="F88" s="81">
        <f>SUM(E86:E87)*E88</f>
        <v>77.790000000000006</v>
      </c>
      <c r="G88" s="3"/>
      <c r="H88" s="1"/>
      <c r="I88" s="75"/>
      <c r="J88" s="7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3"/>
      <c r="E89" s="3"/>
      <c r="F89" s="3"/>
      <c r="G89" s="3"/>
      <c r="H89" s="1"/>
      <c r="I89" s="75"/>
      <c r="J89" s="7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86" t="s">
        <v>50</v>
      </c>
      <c r="B90" s="87"/>
      <c r="C90" s="87"/>
      <c r="D90" s="28"/>
      <c r="E90" s="88"/>
      <c r="F90" s="81">
        <f>F88+F82+F76+F68+F53</f>
        <v>3334.0314851580306</v>
      </c>
      <c r="G90" s="3"/>
      <c r="H90" s="1"/>
      <c r="I90" s="75"/>
      <c r="J90" s="7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3"/>
      <c r="E91" s="3"/>
      <c r="F91" s="3"/>
      <c r="G91" s="3"/>
      <c r="H91" s="1"/>
      <c r="I91" s="75"/>
      <c r="J91" s="7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8" t="s">
        <v>51</v>
      </c>
      <c r="B92" s="1"/>
      <c r="C92" s="1"/>
      <c r="D92" s="3"/>
      <c r="E92" s="3"/>
      <c r="F92" s="3"/>
      <c r="G92" s="3"/>
      <c r="H92" s="1"/>
      <c r="I92" s="75"/>
      <c r="J92" s="7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3"/>
      <c r="E93" s="3"/>
      <c r="F93" s="3"/>
      <c r="G93" s="3"/>
      <c r="H93" s="1"/>
      <c r="I93" s="75"/>
      <c r="J93" s="7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 t="s">
        <v>52</v>
      </c>
      <c r="B94" s="1"/>
      <c r="C94" s="1"/>
      <c r="D94" s="3"/>
      <c r="E94" s="3"/>
      <c r="F94" s="3"/>
      <c r="G94" s="3"/>
      <c r="H94" s="1"/>
      <c r="I94" s="75"/>
      <c r="J94" s="7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thickBot="1" x14ac:dyDescent="0.25">
      <c r="A95" s="1"/>
      <c r="B95" s="1"/>
      <c r="C95" s="1"/>
      <c r="D95" s="3"/>
      <c r="E95" s="3"/>
      <c r="F95" s="3"/>
      <c r="G95" s="3"/>
      <c r="H95" s="1"/>
      <c r="I95" s="75"/>
      <c r="J95" s="7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8.5" customHeight="1" thickBot="1" x14ac:dyDescent="0.25">
      <c r="A96" s="49" t="s">
        <v>14</v>
      </c>
      <c r="B96" s="50" t="s">
        <v>15</v>
      </c>
      <c r="C96" s="89" t="s">
        <v>53</v>
      </c>
      <c r="D96" s="51" t="s">
        <v>16</v>
      </c>
      <c r="E96" s="51" t="s">
        <v>17</v>
      </c>
      <c r="F96" s="52" t="s">
        <v>18</v>
      </c>
      <c r="G96" s="3"/>
      <c r="H96" s="1"/>
      <c r="I96" s="75"/>
      <c r="J96" s="7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90" t="s">
        <v>54</v>
      </c>
      <c r="B97" s="58" t="s">
        <v>47</v>
      </c>
      <c r="C97" s="91">
        <v>6</v>
      </c>
      <c r="D97" s="108">
        <v>100</v>
      </c>
      <c r="E97" s="241">
        <f t="shared" ref="E97:E101" si="6">IFERROR(D97/C97,0)</f>
        <v>16.666666666666668</v>
      </c>
      <c r="F97" s="3"/>
      <c r="G97" s="3"/>
      <c r="H97" s="1"/>
      <c r="I97" s="75"/>
      <c r="J97" s="7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90" t="s">
        <v>55</v>
      </c>
      <c r="B98" s="58" t="s">
        <v>47</v>
      </c>
      <c r="C98" s="70">
        <v>1</v>
      </c>
      <c r="D98" s="108">
        <v>5</v>
      </c>
      <c r="E98" s="241">
        <f t="shared" si="6"/>
        <v>5</v>
      </c>
      <c r="F98" s="3"/>
      <c r="G98" s="3"/>
      <c r="H98" s="1"/>
      <c r="I98" s="75"/>
      <c r="J98" s="7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90" t="s">
        <v>56</v>
      </c>
      <c r="B99" s="58" t="s">
        <v>47</v>
      </c>
      <c r="C99" s="70">
        <v>1</v>
      </c>
      <c r="D99" s="108">
        <v>5</v>
      </c>
      <c r="E99" s="241">
        <f t="shared" si="6"/>
        <v>5</v>
      </c>
      <c r="F99" s="3"/>
      <c r="G99" s="3"/>
      <c r="H99" s="1"/>
      <c r="I99" s="75"/>
      <c r="J99" s="7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90" t="s">
        <v>57</v>
      </c>
      <c r="B100" s="58" t="s">
        <v>47</v>
      </c>
      <c r="C100" s="91">
        <v>6</v>
      </c>
      <c r="D100" s="108">
        <v>50</v>
      </c>
      <c r="E100" s="241">
        <f t="shared" si="6"/>
        <v>8.3333333333333339</v>
      </c>
      <c r="F100" s="3"/>
      <c r="G100" s="3"/>
      <c r="H100" s="1"/>
      <c r="I100" s="75"/>
      <c r="J100" s="7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90" t="s">
        <v>253</v>
      </c>
      <c r="B101" s="58" t="s">
        <v>47</v>
      </c>
      <c r="C101" s="91">
        <v>12</v>
      </c>
      <c r="D101" s="108">
        <v>120</v>
      </c>
      <c r="E101" s="241">
        <f t="shared" si="6"/>
        <v>10</v>
      </c>
      <c r="F101" s="3"/>
      <c r="G101" s="3"/>
      <c r="H101" s="1"/>
      <c r="I101" s="75"/>
      <c r="J101" s="7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thickBot="1" x14ac:dyDescent="0.25">
      <c r="A102" s="90" t="s">
        <v>32</v>
      </c>
      <c r="B102" s="58" t="s">
        <v>33</v>
      </c>
      <c r="C102" s="43">
        <f>C52+C67</f>
        <v>1</v>
      </c>
      <c r="D102" s="60">
        <f>+SUM(E97:E101)</f>
        <v>45</v>
      </c>
      <c r="E102" s="60">
        <f>C102*D102</f>
        <v>45</v>
      </c>
      <c r="F102" s="3"/>
      <c r="G102" s="3"/>
      <c r="H102" s="1"/>
      <c r="I102" s="75"/>
      <c r="J102" s="7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thickBot="1" x14ac:dyDescent="0.25">
      <c r="A103" s="48"/>
      <c r="B103" s="48"/>
      <c r="C103" s="48"/>
      <c r="D103" s="71" t="s">
        <v>34</v>
      </c>
      <c r="E103" s="72">
        <f>$B$36</f>
        <v>1</v>
      </c>
      <c r="F103" s="73">
        <f>E102*E103</f>
        <v>45</v>
      </c>
      <c r="G103" s="3"/>
      <c r="H103" s="1"/>
      <c r="I103" s="75"/>
      <c r="J103" s="7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3"/>
      <c r="E104" s="3"/>
      <c r="F104" s="3"/>
      <c r="G104" s="3"/>
      <c r="H104" s="1"/>
      <c r="I104" s="75"/>
      <c r="J104" s="7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3"/>
      <c r="E105" s="3"/>
      <c r="F105" s="3"/>
      <c r="G105" s="3"/>
      <c r="H105" s="1"/>
      <c r="I105" s="75"/>
      <c r="J105" s="7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86" t="s">
        <v>58</v>
      </c>
      <c r="B106" s="92"/>
      <c r="C106" s="92"/>
      <c r="D106" s="93"/>
      <c r="E106" s="94"/>
      <c r="F106" s="95">
        <f>F103</f>
        <v>45</v>
      </c>
      <c r="G106" s="3"/>
      <c r="H106" s="1"/>
      <c r="I106" s="75"/>
      <c r="J106" s="7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3"/>
      <c r="E107" s="3"/>
      <c r="F107" s="3"/>
      <c r="G107" s="3"/>
      <c r="H107" s="1"/>
      <c r="I107" s="75"/>
      <c r="J107" s="7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8" t="s">
        <v>59</v>
      </c>
      <c r="B108" s="1"/>
      <c r="C108" s="1"/>
      <c r="D108" s="3"/>
      <c r="E108" s="3"/>
      <c r="F108" s="3"/>
      <c r="G108" s="3"/>
      <c r="H108" s="1"/>
      <c r="I108" s="75"/>
      <c r="J108" s="7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96"/>
      <c r="C109" s="1"/>
      <c r="D109" s="3"/>
      <c r="E109" s="3"/>
      <c r="F109" s="3"/>
      <c r="G109" s="3"/>
      <c r="H109" s="1"/>
      <c r="I109" s="75"/>
      <c r="J109" s="7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251" t="s">
        <v>257</v>
      </c>
      <c r="B110" s="1"/>
      <c r="C110" s="1"/>
      <c r="D110" s="3"/>
      <c r="E110" s="3"/>
      <c r="F110" s="3"/>
      <c r="G110" s="3"/>
      <c r="H110" s="1"/>
      <c r="I110" s="75"/>
      <c r="J110" s="7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3"/>
      <c r="E111" s="3"/>
      <c r="F111" s="3"/>
      <c r="G111" s="3"/>
      <c r="H111" s="1"/>
      <c r="I111" s="75"/>
      <c r="J111" s="7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96" t="s">
        <v>60</v>
      </c>
      <c r="B112" s="1"/>
      <c r="C112" s="1"/>
      <c r="D112" s="3"/>
      <c r="E112" s="3"/>
      <c r="F112" s="3"/>
      <c r="G112" s="3"/>
      <c r="H112" s="1"/>
      <c r="I112" s="75"/>
      <c r="J112" s="7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49" t="s">
        <v>14</v>
      </c>
      <c r="B113" s="50" t="s">
        <v>15</v>
      </c>
      <c r="C113" s="50" t="s">
        <v>9</v>
      </c>
      <c r="D113" s="51" t="s">
        <v>16</v>
      </c>
      <c r="E113" s="51" t="s">
        <v>17</v>
      </c>
      <c r="F113" s="52" t="s">
        <v>61</v>
      </c>
      <c r="G113" s="3"/>
      <c r="H113" s="1"/>
      <c r="I113" s="75"/>
      <c r="J113" s="7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53" t="s">
        <v>62</v>
      </c>
      <c r="B114" s="54" t="s">
        <v>47</v>
      </c>
      <c r="C114" s="54">
        <v>1</v>
      </c>
      <c r="D114" s="55">
        <v>300000</v>
      </c>
      <c r="E114" s="56">
        <f>C114*D114</f>
        <v>300000</v>
      </c>
      <c r="F114" s="3"/>
      <c r="G114" s="3"/>
      <c r="H114" s="1"/>
      <c r="I114" s="75"/>
      <c r="J114" s="7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57" t="s">
        <v>63</v>
      </c>
      <c r="B115" s="58" t="s">
        <v>64</v>
      </c>
      <c r="C115" s="62">
        <v>10</v>
      </c>
      <c r="D115" s="60"/>
      <c r="E115" s="60"/>
      <c r="F115" s="3"/>
      <c r="G115" s="3"/>
      <c r="H115" s="1"/>
      <c r="I115" s="75"/>
      <c r="J115" s="7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57" t="s">
        <v>65</v>
      </c>
      <c r="B116" s="58" t="s">
        <v>64</v>
      </c>
      <c r="C116" s="70">
        <v>0</v>
      </c>
      <c r="D116" s="60"/>
      <c r="E116" s="60"/>
      <c r="F116" s="97"/>
      <c r="G116" s="3"/>
      <c r="H116" s="1"/>
      <c r="I116" s="75"/>
      <c r="J116" s="7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57" t="s">
        <v>66</v>
      </c>
      <c r="B117" s="58" t="s">
        <v>4</v>
      </c>
      <c r="C117" s="67">
        <f>IFERROR(VLOOKUP(C115,'5. Depreciação'!A3:B17,2,FALSE),0)</f>
        <v>65.180000000000007</v>
      </c>
      <c r="D117" s="60">
        <f>E114</f>
        <v>300000</v>
      </c>
      <c r="E117" s="60">
        <f>C117*D117/100</f>
        <v>195540.00000000003</v>
      </c>
      <c r="F117" s="3"/>
      <c r="G117" s="3"/>
      <c r="H117" s="1"/>
      <c r="I117" s="75"/>
      <c r="J117" s="7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98" t="s">
        <v>67</v>
      </c>
      <c r="B118" s="99" t="s">
        <v>20</v>
      </c>
      <c r="C118" s="99">
        <f>C115*12</f>
        <v>120</v>
      </c>
      <c r="D118" s="100">
        <f>IF(C116&lt;=C115,E117,0)</f>
        <v>195540.00000000003</v>
      </c>
      <c r="E118" s="100">
        <f>IFERROR(D118/C118,0)</f>
        <v>1629.5000000000002</v>
      </c>
      <c r="F118" s="3"/>
      <c r="G118" s="3"/>
      <c r="H118" s="1"/>
      <c r="I118" s="75"/>
      <c r="J118" s="7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63" t="s">
        <v>68</v>
      </c>
      <c r="B119" s="101" t="s">
        <v>47</v>
      </c>
      <c r="C119" s="70">
        <v>1</v>
      </c>
      <c r="D119" s="66">
        <f>E118</f>
        <v>1629.5000000000002</v>
      </c>
      <c r="E119" s="102">
        <f>C119*D119</f>
        <v>1629.5000000000002</v>
      </c>
      <c r="F119" s="3"/>
      <c r="G119" s="3"/>
      <c r="H119" s="1"/>
      <c r="I119" s="75"/>
      <c r="J119" s="7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03"/>
      <c r="B120" s="103"/>
      <c r="C120" s="103"/>
      <c r="D120" s="71" t="s">
        <v>34</v>
      </c>
      <c r="E120" s="72">
        <f>$B$36</f>
        <v>1</v>
      </c>
      <c r="F120" s="95">
        <f>E119*E120</f>
        <v>1629.5000000000002</v>
      </c>
      <c r="G120" s="3"/>
      <c r="H120" s="1"/>
      <c r="I120" s="75"/>
      <c r="J120" s="7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3"/>
      <c r="E121" s="3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96" t="s">
        <v>69</v>
      </c>
      <c r="B122" s="1"/>
      <c r="C122" s="1"/>
      <c r="D122" s="3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04" t="s">
        <v>14</v>
      </c>
      <c r="B123" s="105" t="s">
        <v>15</v>
      </c>
      <c r="C123" s="105" t="s">
        <v>9</v>
      </c>
      <c r="D123" s="51" t="s">
        <v>16</v>
      </c>
      <c r="E123" s="106" t="s">
        <v>17</v>
      </c>
      <c r="F123" s="52" t="s">
        <v>70</v>
      </c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57" t="s">
        <v>71</v>
      </c>
      <c r="B124" s="58" t="s">
        <v>47</v>
      </c>
      <c r="C124" s="54">
        <v>1</v>
      </c>
      <c r="D124" s="60">
        <f>D114</f>
        <v>300000</v>
      </c>
      <c r="E124" s="60">
        <f>C124*D124</f>
        <v>300000</v>
      </c>
      <c r="F124" s="97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57" t="s">
        <v>72</v>
      </c>
      <c r="B125" s="58" t="s">
        <v>4</v>
      </c>
      <c r="C125" s="62">
        <v>11.75</v>
      </c>
      <c r="D125" s="60"/>
      <c r="E125" s="60"/>
      <c r="F125" s="97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57" t="s">
        <v>73</v>
      </c>
      <c r="B126" s="58" t="s">
        <v>26</v>
      </c>
      <c r="C126" s="60">
        <f>IFERROR(IF(C116&lt;=C115,E114-(C117/(100*C115)*C116)*E114,E114-E117),0)</f>
        <v>300000</v>
      </c>
      <c r="D126" s="60"/>
      <c r="E126" s="60"/>
      <c r="F126" s="97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57" t="s">
        <v>74</v>
      </c>
      <c r="B127" s="58" t="s">
        <v>26</v>
      </c>
      <c r="C127" s="60">
        <f>IFERROR(IF(C116&gt;=C115,C126,((((C126)-(E114-E117))*(((C115-C116)+1)/(2*(C115-C116))))+(E114-E117))),0)</f>
        <v>212007</v>
      </c>
      <c r="D127" s="60"/>
      <c r="E127" s="60"/>
      <c r="F127" s="97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98" t="s">
        <v>75</v>
      </c>
      <c r="B128" s="99" t="s">
        <v>26</v>
      </c>
      <c r="C128" s="99"/>
      <c r="D128" s="100">
        <f>C125*C127/12/100</f>
        <v>2075.901875</v>
      </c>
      <c r="E128" s="100">
        <f>D128</f>
        <v>2075.901875</v>
      </c>
      <c r="F128" s="97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">
      <c r="A129" s="63" t="s">
        <v>68</v>
      </c>
      <c r="B129" s="101" t="s">
        <v>47</v>
      </c>
      <c r="C129" s="58">
        <f>C119</f>
        <v>1</v>
      </c>
      <c r="D129" s="66">
        <f>E128</f>
        <v>2075.901875</v>
      </c>
      <c r="E129" s="102">
        <f>C129*D129</f>
        <v>2075.901875</v>
      </c>
      <c r="F129" s="97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07"/>
      <c r="D130" s="71" t="s">
        <v>34</v>
      </c>
      <c r="E130" s="72">
        <f>$B$36</f>
        <v>1</v>
      </c>
      <c r="F130" s="95">
        <f>E129*E130</f>
        <v>2075.901875</v>
      </c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3"/>
      <c r="E131" s="3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 t="s">
        <v>76</v>
      </c>
      <c r="B132" s="1"/>
      <c r="C132" s="1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49" t="s">
        <v>14</v>
      </c>
      <c r="B133" s="50" t="s">
        <v>15</v>
      </c>
      <c r="C133" s="50" t="s">
        <v>9</v>
      </c>
      <c r="D133" s="51" t="s">
        <v>16</v>
      </c>
      <c r="E133" s="51" t="s">
        <v>17</v>
      </c>
      <c r="F133" s="52" t="s">
        <v>77</v>
      </c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53" t="s">
        <v>78</v>
      </c>
      <c r="B134" s="54" t="s">
        <v>47</v>
      </c>
      <c r="C134" s="108">
        <v>1</v>
      </c>
      <c r="D134" s="56">
        <f>0.01*($E$114)</f>
        <v>3000</v>
      </c>
      <c r="E134" s="56">
        <f t="shared" ref="E134:E135" si="7">C134*D134</f>
        <v>3000</v>
      </c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57" t="s">
        <v>79</v>
      </c>
      <c r="B135" s="58" t="s">
        <v>47</v>
      </c>
      <c r="C135" s="56">
        <f>C134</f>
        <v>1</v>
      </c>
      <c r="D135" s="84">
        <v>150</v>
      </c>
      <c r="E135" s="60">
        <f t="shared" si="7"/>
        <v>150</v>
      </c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63" t="s">
        <v>80</v>
      </c>
      <c r="B136" s="101" t="s">
        <v>20</v>
      </c>
      <c r="C136" s="101">
        <v>12</v>
      </c>
      <c r="D136" s="66">
        <f>SUM(E134:E135)</f>
        <v>3150</v>
      </c>
      <c r="E136" s="66">
        <f>D136/C136</f>
        <v>262.5</v>
      </c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71" t="s">
        <v>34</v>
      </c>
      <c r="E137" s="72">
        <f>$B$36</f>
        <v>1</v>
      </c>
      <c r="F137" s="73">
        <f>E136*E137</f>
        <v>262.5</v>
      </c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3"/>
      <c r="E138" s="3"/>
      <c r="F138" s="3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1:26" ht="12.75" customHeight="1" x14ac:dyDescent="0.2">
      <c r="A139" s="1" t="s">
        <v>81</v>
      </c>
      <c r="B139" s="110"/>
      <c r="C139" s="1"/>
      <c r="D139" s="3"/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10"/>
      <c r="C140" s="1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.25" customHeight="1" x14ac:dyDescent="0.2">
      <c r="A141" s="63" t="s">
        <v>82</v>
      </c>
      <c r="B141" s="111">
        <v>168</v>
      </c>
      <c r="C141" s="1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10"/>
      <c r="C142" s="1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04" t="s">
        <v>14</v>
      </c>
      <c r="B143" s="105" t="s">
        <v>15</v>
      </c>
      <c r="C143" s="105" t="s">
        <v>83</v>
      </c>
      <c r="D143" s="106" t="s">
        <v>16</v>
      </c>
      <c r="E143" s="106" t="s">
        <v>17</v>
      </c>
      <c r="F143" s="52" t="s">
        <v>84</v>
      </c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90" t="s">
        <v>85</v>
      </c>
      <c r="B144" s="58" t="s">
        <v>86</v>
      </c>
      <c r="C144" s="112">
        <v>10</v>
      </c>
      <c r="D144" s="113">
        <v>6.52</v>
      </c>
      <c r="E144" s="60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57" t="s">
        <v>87</v>
      </c>
      <c r="B145" s="58" t="s">
        <v>88</v>
      </c>
      <c r="C145" s="76">
        <f>B141</f>
        <v>168</v>
      </c>
      <c r="D145" s="114">
        <f>IFERROR(+D144*C144,"-")</f>
        <v>65.199999999999989</v>
      </c>
      <c r="E145" s="60">
        <f>IFERROR(C145*D145,"-")</f>
        <v>10953.599999999999</v>
      </c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57" t="s">
        <v>89</v>
      </c>
      <c r="B146" s="58" t="s">
        <v>90</v>
      </c>
      <c r="C146" s="115">
        <v>30</v>
      </c>
      <c r="D146" s="84">
        <v>13.2</v>
      </c>
      <c r="E146" s="60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57" t="s">
        <v>91</v>
      </c>
      <c r="B147" s="58" t="s">
        <v>88</v>
      </c>
      <c r="C147" s="76">
        <f>C145</f>
        <v>168</v>
      </c>
      <c r="D147" s="114">
        <f>+C146*D146/1000</f>
        <v>0.39600000000000002</v>
      </c>
      <c r="E147" s="60">
        <f>C147*D147</f>
        <v>66.528000000000006</v>
      </c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57" t="s">
        <v>92</v>
      </c>
      <c r="B148" s="58" t="s">
        <v>90</v>
      </c>
      <c r="C148" s="115">
        <v>40</v>
      </c>
      <c r="D148" s="84">
        <v>14.5</v>
      </c>
      <c r="E148" s="60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57" t="s">
        <v>93</v>
      </c>
      <c r="B149" s="58" t="s">
        <v>88</v>
      </c>
      <c r="C149" s="76">
        <f>C145</f>
        <v>168</v>
      </c>
      <c r="D149" s="114">
        <f>+C148*D148/1000</f>
        <v>0.57999999999999996</v>
      </c>
      <c r="E149" s="60">
        <f>C149*D149</f>
        <v>97.44</v>
      </c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57" t="s">
        <v>94</v>
      </c>
      <c r="B150" s="58" t="s">
        <v>95</v>
      </c>
      <c r="C150" s="115">
        <v>1</v>
      </c>
      <c r="D150" s="84">
        <v>21</v>
      </c>
      <c r="E150" s="60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57" t="s">
        <v>96</v>
      </c>
      <c r="B151" s="58" t="s">
        <v>88</v>
      </c>
      <c r="C151" s="76">
        <f>C145</f>
        <v>168</v>
      </c>
      <c r="D151" s="114">
        <f>+C150*D150/1000</f>
        <v>2.1000000000000001E-2</v>
      </c>
      <c r="E151" s="60">
        <f>C151*D151</f>
        <v>3.528</v>
      </c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63" t="s">
        <v>97</v>
      </c>
      <c r="B152" s="101" t="s">
        <v>98</v>
      </c>
      <c r="C152" s="116"/>
      <c r="D152" s="117">
        <f>IFERROR(D145+D147+#REF!+D149+D151,0)</f>
        <v>0</v>
      </c>
      <c r="E152" s="60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3"/>
      <c r="E153" s="3"/>
      <c r="F153" s="95">
        <f>SUM(E144:E151)</f>
        <v>11121.096</v>
      </c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5" customHeight="1" x14ac:dyDescent="0.2">
      <c r="A154" s="1"/>
      <c r="B154" s="1"/>
      <c r="C154" s="1"/>
      <c r="D154" s="3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 t="s">
        <v>99</v>
      </c>
      <c r="B155" s="1"/>
      <c r="C155" s="1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49" t="s">
        <v>14</v>
      </c>
      <c r="B156" s="50" t="s">
        <v>15</v>
      </c>
      <c r="C156" s="50" t="s">
        <v>9</v>
      </c>
      <c r="D156" s="51" t="s">
        <v>16</v>
      </c>
      <c r="E156" s="51" t="s">
        <v>17</v>
      </c>
      <c r="F156" s="52" t="s">
        <v>100</v>
      </c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53" t="s">
        <v>101</v>
      </c>
      <c r="B157" s="54" t="s">
        <v>102</v>
      </c>
      <c r="C157" s="76">
        <f>C145</f>
        <v>168</v>
      </c>
      <c r="D157" s="108">
        <v>4</v>
      </c>
      <c r="E157" s="56">
        <f>C157*D157</f>
        <v>672</v>
      </c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3"/>
      <c r="E158" s="3"/>
      <c r="F158" s="95">
        <f>E157</f>
        <v>672</v>
      </c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3"/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 t="s">
        <v>103</v>
      </c>
      <c r="B160" s="1"/>
      <c r="C160" s="1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49" t="s">
        <v>14</v>
      </c>
      <c r="B161" s="50" t="s">
        <v>15</v>
      </c>
      <c r="C161" s="50" t="s">
        <v>9</v>
      </c>
      <c r="D161" s="51" t="s">
        <v>16</v>
      </c>
      <c r="E161" s="51" t="s">
        <v>17</v>
      </c>
      <c r="F161" s="52" t="s">
        <v>104</v>
      </c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53" t="s">
        <v>105</v>
      </c>
      <c r="B162" s="54" t="s">
        <v>47</v>
      </c>
      <c r="C162" s="118">
        <v>6</v>
      </c>
      <c r="D162" s="55">
        <v>1900</v>
      </c>
      <c r="E162" s="56">
        <f>C162*D162</f>
        <v>11400</v>
      </c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53" t="s">
        <v>106</v>
      </c>
      <c r="B163" s="54" t="s">
        <v>47</v>
      </c>
      <c r="C163" s="119">
        <v>1</v>
      </c>
      <c r="D163" s="56"/>
      <c r="E163" s="56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53" t="s">
        <v>107</v>
      </c>
      <c r="B164" s="54" t="s">
        <v>47</v>
      </c>
      <c r="C164" s="56">
        <f>C162*C163</f>
        <v>6</v>
      </c>
      <c r="D164" s="108">
        <v>1800</v>
      </c>
      <c r="E164" s="56">
        <f>C164*D164</f>
        <v>10800</v>
      </c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57" t="s">
        <v>108</v>
      </c>
      <c r="B165" s="58" t="s">
        <v>109</v>
      </c>
      <c r="C165" s="120">
        <v>8000</v>
      </c>
      <c r="D165" s="60">
        <f>E162+E164</f>
        <v>22200</v>
      </c>
      <c r="E165" s="60">
        <f>IFERROR(D165/C165,"-")</f>
        <v>2.7749999999999999</v>
      </c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57" t="s">
        <v>110</v>
      </c>
      <c r="B166" s="58" t="s">
        <v>111</v>
      </c>
      <c r="C166" s="76">
        <f>B141</f>
        <v>168</v>
      </c>
      <c r="D166" s="60">
        <f>E165</f>
        <v>2.7749999999999999</v>
      </c>
      <c r="E166" s="60">
        <f>IFERROR(C166*D166,0)</f>
        <v>466.2</v>
      </c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3"/>
      <c r="E167" s="3"/>
      <c r="F167" s="95">
        <f>E166</f>
        <v>466.2</v>
      </c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3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86" t="s">
        <v>112</v>
      </c>
      <c r="B170" s="87"/>
      <c r="C170" s="87"/>
      <c r="D170" s="28"/>
      <c r="E170" s="88"/>
      <c r="F170" s="95">
        <f>+SUM(F114:F169)</f>
        <v>16227.197875000002</v>
      </c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3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8" t="s">
        <v>113</v>
      </c>
      <c r="B172" s="18"/>
      <c r="C172" s="18"/>
      <c r="D172" s="17"/>
      <c r="E172" s="17"/>
      <c r="F172" s="65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3"/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49" t="s">
        <v>14</v>
      </c>
      <c r="B174" s="50" t="s">
        <v>15</v>
      </c>
      <c r="C174" s="50" t="s">
        <v>9</v>
      </c>
      <c r="D174" s="51" t="s">
        <v>16</v>
      </c>
      <c r="E174" s="51" t="s">
        <v>17</v>
      </c>
      <c r="F174" s="52" t="s">
        <v>114</v>
      </c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57" t="s">
        <v>115</v>
      </c>
      <c r="B175" s="121" t="s">
        <v>116</v>
      </c>
      <c r="C175" s="43">
        <f>C119</f>
        <v>1</v>
      </c>
      <c r="D175" s="84">
        <v>200</v>
      </c>
      <c r="E175" s="60">
        <f>+D175*C175</f>
        <v>200</v>
      </c>
      <c r="F175" s="97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57" t="s">
        <v>117</v>
      </c>
      <c r="B176" s="121" t="s">
        <v>20</v>
      </c>
      <c r="C176" s="58">
        <v>60</v>
      </c>
      <c r="D176" s="122">
        <f>SUM(E175)</f>
        <v>200</v>
      </c>
      <c r="E176" s="122">
        <f>+D176/C176</f>
        <v>3.3333333333333335</v>
      </c>
      <c r="F176" s="97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57" t="s">
        <v>118</v>
      </c>
      <c r="B177" s="58" t="s">
        <v>47</v>
      </c>
      <c r="C177" s="43">
        <f>+C175</f>
        <v>1</v>
      </c>
      <c r="D177" s="84">
        <v>100</v>
      </c>
      <c r="E177" s="60">
        <f>C177*D177</f>
        <v>100</v>
      </c>
      <c r="F177" s="97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57" t="s">
        <v>119</v>
      </c>
      <c r="B178" s="121" t="s">
        <v>20</v>
      </c>
      <c r="C178" s="58">
        <v>1</v>
      </c>
      <c r="D178" s="122">
        <f>+E177</f>
        <v>100</v>
      </c>
      <c r="E178" s="122">
        <f>+D178/C178</f>
        <v>100</v>
      </c>
      <c r="F178" s="97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23"/>
      <c r="B179" s="123"/>
      <c r="C179" s="123"/>
      <c r="D179" s="71" t="s">
        <v>34</v>
      </c>
      <c r="E179" s="72">
        <f>$B$36</f>
        <v>1</v>
      </c>
      <c r="F179" s="95">
        <f>(E176+E178)*E179</f>
        <v>103.33333333333333</v>
      </c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3"/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86" t="s">
        <v>120</v>
      </c>
      <c r="B181" s="87"/>
      <c r="C181" s="87"/>
      <c r="D181" s="28"/>
      <c r="E181" s="88"/>
      <c r="F181" s="95">
        <f>+F179</f>
        <v>103.33333333333333</v>
      </c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3"/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86" t="s">
        <v>121</v>
      </c>
      <c r="B183" s="92"/>
      <c r="C183" s="92"/>
      <c r="D183" s="93"/>
      <c r="E183" s="94"/>
      <c r="F183" s="81">
        <f>+F90+F106+F170+F181</f>
        <v>19709.562693491363</v>
      </c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3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8" t="s">
        <v>122</v>
      </c>
      <c r="B185" s="1"/>
      <c r="C185" s="1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3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49" t="s">
        <v>14</v>
      </c>
      <c r="B187" s="50" t="s">
        <v>15</v>
      </c>
      <c r="C187" s="50" t="s">
        <v>9</v>
      </c>
      <c r="D187" s="51" t="s">
        <v>16</v>
      </c>
      <c r="E187" s="51" t="s">
        <v>17</v>
      </c>
      <c r="F187" s="52" t="s">
        <v>123</v>
      </c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53" t="s">
        <v>124</v>
      </c>
      <c r="B188" s="54" t="s">
        <v>4</v>
      </c>
      <c r="C188" s="67">
        <f>'4.BDI'!C20*100</f>
        <v>37.51</v>
      </c>
      <c r="D188" s="56">
        <f>+F183</f>
        <v>19709.562693491363</v>
      </c>
      <c r="E188" s="56">
        <f>C188*D188/100</f>
        <v>7393.0569663286105</v>
      </c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3"/>
      <c r="E189" s="3"/>
      <c r="F189" s="95">
        <f>+E188</f>
        <v>7393.0569663286105</v>
      </c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3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86" t="s">
        <v>125</v>
      </c>
      <c r="B191" s="92"/>
      <c r="C191" s="92"/>
      <c r="D191" s="93"/>
      <c r="E191" s="124" t="s">
        <v>126</v>
      </c>
      <c r="F191" s="81">
        <f>F189</f>
        <v>7393.0569663286105</v>
      </c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8"/>
      <c r="B192" s="18"/>
      <c r="C192" s="18"/>
      <c r="D192" s="17"/>
      <c r="E192" s="17"/>
      <c r="F192" s="65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86" t="s">
        <v>127</v>
      </c>
      <c r="B194" s="92"/>
      <c r="C194" s="92"/>
      <c r="D194" s="93"/>
      <c r="E194" s="124" t="s">
        <v>128</v>
      </c>
      <c r="F194" s="81">
        <f>F183+F191</f>
        <v>27102.619659819975</v>
      </c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25"/>
      <c r="B195" s="125"/>
      <c r="C195" s="125"/>
      <c r="D195" s="126"/>
      <c r="E195" s="126"/>
      <c r="F195" s="126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27" t="s">
        <v>129</v>
      </c>
      <c r="B196" s="128"/>
      <c r="C196" s="129"/>
      <c r="D196" s="130"/>
      <c r="E196" s="130" t="s">
        <v>130</v>
      </c>
      <c r="F196" s="131">
        <f>B141</f>
        <v>168</v>
      </c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3"/>
      <c r="E197" s="3"/>
      <c r="F197" s="97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27" t="s">
        <v>131</v>
      </c>
      <c r="B198" s="128"/>
      <c r="C198" s="129"/>
      <c r="D198" s="130"/>
      <c r="E198" s="132" t="s">
        <v>132</v>
      </c>
      <c r="F198" s="133">
        <f>F194/F196</f>
        <v>161.32511702273794</v>
      </c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3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3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3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3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3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3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3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3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3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3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3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3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3"/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3"/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3"/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3"/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3"/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3"/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3"/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3"/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3"/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3"/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3"/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3"/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3"/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3"/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3"/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3"/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3"/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3"/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3"/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3"/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3"/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3"/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3"/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3"/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3"/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3"/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3"/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3"/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3"/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3"/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3"/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3"/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3"/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3"/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3"/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3"/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3"/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3"/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3"/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3"/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3"/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3"/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3"/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3"/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3"/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3"/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3"/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3"/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3"/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3"/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3"/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3"/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3"/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3"/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3"/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3"/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3"/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3"/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3"/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3"/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3"/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3"/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3"/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3"/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3"/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3"/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3"/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3"/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3"/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3"/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3"/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3"/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3"/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3"/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3"/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3"/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3"/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3"/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3"/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3"/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3"/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3"/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3"/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3"/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3"/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3"/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3"/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3"/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3"/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3"/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3"/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3"/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3"/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3"/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3"/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3"/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3"/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3"/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3"/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3"/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3"/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3"/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3"/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3"/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3"/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3"/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3"/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3"/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3"/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3"/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3"/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3"/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3"/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3"/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3"/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3"/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3"/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3"/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3"/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3"/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3"/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3"/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3"/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3"/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3"/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3"/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3"/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3"/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3"/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3"/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3"/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3"/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3"/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3"/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3"/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3"/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3"/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3"/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3"/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3"/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3"/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3"/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3"/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3"/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3"/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3"/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3"/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3"/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3"/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3"/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3"/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3"/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3"/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3"/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3"/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3"/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3"/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3"/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3"/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3"/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3"/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3"/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3"/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3"/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3"/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3"/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3"/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3"/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3"/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3"/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3"/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3"/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3"/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3"/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3"/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3"/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3"/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3"/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3"/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3"/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3"/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3"/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3"/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3"/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3"/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3"/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3"/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3"/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3"/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3"/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3"/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3"/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3"/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3"/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3"/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3"/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3"/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3"/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3"/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3"/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3"/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3"/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3"/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3"/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3"/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3"/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3"/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3"/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3"/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3"/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3"/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3"/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3"/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3"/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3"/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3"/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3"/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3"/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3"/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3"/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3"/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3"/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3"/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3"/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3"/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3"/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3"/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3"/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3"/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3"/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3"/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3"/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3"/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3"/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3"/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3"/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3"/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3"/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3"/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3"/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3"/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3"/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3"/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3"/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3"/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3"/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3"/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3"/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3"/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3"/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3"/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3"/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3"/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3"/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3"/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3"/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3"/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3"/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3"/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3"/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3"/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3"/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3"/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3"/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3"/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3"/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3"/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3"/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3"/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3"/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3"/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3"/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3"/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3"/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3"/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3"/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3"/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3"/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3"/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3"/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3"/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3"/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3"/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3"/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3"/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3"/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3"/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3"/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3"/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3"/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3"/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3"/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3"/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3"/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3"/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3"/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3"/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3"/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3"/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3"/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3"/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3"/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3"/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3"/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3"/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3"/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3"/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3"/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3"/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3"/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3"/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3"/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3"/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3"/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3"/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3"/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3"/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3"/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3"/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3"/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3"/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3"/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3"/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3"/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3"/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3"/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3"/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3"/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3"/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3"/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3"/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3"/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3"/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3"/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3"/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3"/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3"/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3"/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3"/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3"/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3"/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3"/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3"/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3"/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3"/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3"/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3"/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3"/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3"/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3"/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3"/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3"/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3"/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3"/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3"/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3"/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3"/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3"/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3"/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3"/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3"/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3"/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3"/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3"/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3"/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3"/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3"/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3"/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3"/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3"/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3"/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3"/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3"/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3"/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3"/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3"/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3"/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3"/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3"/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3"/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3"/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3"/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3"/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3"/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3"/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3"/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3"/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3"/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3"/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3"/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3"/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3"/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3"/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3"/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3"/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3"/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3"/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3"/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3"/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3"/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3"/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3"/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3"/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3"/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3"/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3"/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3"/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3"/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3"/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3"/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3"/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3"/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3"/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3"/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3"/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3"/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3"/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3"/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3"/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3"/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3"/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3"/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3"/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3"/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3"/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3"/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3"/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3"/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3"/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3"/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3"/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3"/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3"/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3"/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3"/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3"/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3"/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3"/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3"/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3"/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3"/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3"/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3"/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3"/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3"/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3"/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3"/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3"/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3"/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3"/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3"/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3"/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3"/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3"/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3"/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3"/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3"/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3"/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3"/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3"/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3"/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3"/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3"/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3"/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3"/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3"/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3"/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3"/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3"/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3"/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3"/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3"/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3"/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3"/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3"/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3"/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3"/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3"/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3"/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3"/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3"/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3"/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3"/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3"/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3"/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3"/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3"/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3"/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3"/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3"/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3"/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3"/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3"/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3"/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3"/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3"/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3"/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3"/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3"/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3"/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3"/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3"/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3"/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3"/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3"/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3"/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3"/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3"/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3"/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3"/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3"/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3"/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3"/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3"/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3"/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3"/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3"/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3"/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3"/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3"/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3"/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3"/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3"/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3"/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3"/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3"/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3"/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3"/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3"/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3"/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3"/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3"/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3"/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3"/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3"/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3"/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3"/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3"/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3"/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3"/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3"/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3"/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3"/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3"/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3"/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3"/>
      <c r="E946" s="3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3"/>
      <c r="E947" s="3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3"/>
      <c r="E948" s="3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3"/>
      <c r="E949" s="3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3"/>
      <c r="E950" s="3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3"/>
      <c r="E951" s="3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3"/>
      <c r="E952" s="3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3"/>
      <c r="E953" s="3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3"/>
      <c r="E954" s="3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3"/>
      <c r="E955" s="3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3"/>
      <c r="E956" s="3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3"/>
      <c r="E957" s="3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3"/>
      <c r="E958" s="3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3"/>
      <c r="E959" s="3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3"/>
      <c r="E960" s="3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3"/>
      <c r="E961" s="3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3"/>
      <c r="E962" s="3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3"/>
      <c r="E963" s="3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3"/>
      <c r="E964" s="3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3"/>
      <c r="E965" s="3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3"/>
      <c r="E966" s="3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3"/>
      <c r="E967" s="3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3"/>
      <c r="E968" s="3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3"/>
      <c r="E969" s="3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3"/>
      <c r="E970" s="3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3"/>
      <c r="E971" s="3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3"/>
      <c r="E972" s="3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3"/>
      <c r="E973" s="3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3"/>
      <c r="E974" s="3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3"/>
      <c r="E975" s="3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3"/>
      <c r="E976" s="3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3"/>
      <c r="E977" s="3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3"/>
      <c r="E978" s="3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3"/>
      <c r="E979" s="3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3"/>
      <c r="E980" s="3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3"/>
      <c r="E981" s="3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3"/>
      <c r="E982" s="3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3"/>
      <c r="E983" s="3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3"/>
      <c r="E984" s="3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3"/>
      <c r="E985" s="3"/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3"/>
      <c r="E986" s="3"/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3"/>
      <c r="E987" s="3"/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3"/>
      <c r="E988" s="3"/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3"/>
      <c r="E989" s="3"/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3"/>
      <c r="E990" s="3"/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3"/>
      <c r="E991" s="3"/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3"/>
      <c r="E992" s="3"/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3"/>
      <c r="E993" s="3"/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3"/>
      <c r="E994" s="3"/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3"/>
      <c r="E995" s="3"/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3"/>
      <c r="E996" s="3"/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3"/>
      <c r="E997" s="3"/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3"/>
      <c r="E998" s="3"/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3"/>
      <c r="E999" s="3"/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3"/>
      <c r="E1000" s="3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3"/>
      <c r="E1001" s="3"/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3"/>
      <c r="E1002" s="3"/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G1003" s="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G1004" s="3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G1005" s="3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G1006" s="3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">
      <c r="G1007" s="3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2">
      <c r="G1008" s="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A28:D28"/>
    <mergeCell ref="A33:D33"/>
    <mergeCell ref="A76:E76"/>
    <mergeCell ref="A2:F2"/>
    <mergeCell ref="A3:F3"/>
    <mergeCell ref="A5:F5"/>
    <mergeCell ref="A13:C13"/>
    <mergeCell ref="A27:E27"/>
  </mergeCells>
  <hyperlinks>
    <hyperlink ref="A16" location="Google_Sheet_Link_883616420" display="   3.1.1. Depreciação   "/>
    <hyperlink ref="A17" location="Google_Sheet_Link_1983329609" display="   3.1.2. Remuneração do Capital   "/>
    <hyperlink ref="A112" location="Google_Sheet_Link_883616420" display="3.1.1. Depreciação"/>
    <hyperlink ref="A122" location="Google_Sheet_Link_1983329609" display="3.1.2. Remuneração do Capital"/>
  </hyperlinks>
  <pageMargins left="0.9055118110236221" right="0.51181102362204722" top="0.74803149606299213" bottom="0.74803149606299213" header="0" footer="0"/>
  <pageSetup paperSize="9" scale="76" fitToHeight="0" orientation="portrait" r:id="rId1"/>
  <headerFooter>
    <oddFooter>&amp;R&amp;P de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26" width="9.140625" customWidth="1"/>
  </cols>
  <sheetData>
    <row r="1" spans="1:26" ht="12.75" customHeight="1" x14ac:dyDescent="0.2">
      <c r="A1" s="18" t="s">
        <v>133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2.75" customHeight="1" x14ac:dyDescent="0.2">
      <c r="A2" s="2" t="s">
        <v>134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5" customHeight="1" x14ac:dyDescent="0.2">
      <c r="A3" s="1"/>
      <c r="B3" s="2"/>
      <c r="C3" s="2"/>
      <c r="D3" s="2"/>
      <c r="E3" s="2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35"/>
      <c r="B4" s="2"/>
      <c r="C4" s="2"/>
      <c r="D4" s="2"/>
      <c r="E4" s="2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35"/>
      <c r="B5" s="2"/>
      <c r="C5" s="2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2.75" customHeight="1" x14ac:dyDescent="0.2">
      <c r="A7" s="271" t="s">
        <v>135</v>
      </c>
      <c r="B7" s="272"/>
      <c r="C7" s="273"/>
      <c r="D7" s="136"/>
      <c r="E7" s="136"/>
      <c r="F7" s="136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2.75" customHeight="1" x14ac:dyDescent="0.2">
      <c r="A8" s="137" t="s">
        <v>136</v>
      </c>
      <c r="B8" s="138" t="s">
        <v>137</v>
      </c>
      <c r="C8" s="139" t="s">
        <v>138</v>
      </c>
      <c r="D8" s="140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2.75" customHeight="1" x14ac:dyDescent="0.2">
      <c r="A9" s="137" t="s">
        <v>139</v>
      </c>
      <c r="B9" s="138" t="s">
        <v>140</v>
      </c>
      <c r="C9" s="141">
        <v>0.2</v>
      </c>
      <c r="D9" s="140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ht="12.75" customHeight="1" x14ac:dyDescent="0.2">
      <c r="A10" s="137" t="s">
        <v>141</v>
      </c>
      <c r="B10" s="138" t="s">
        <v>142</v>
      </c>
      <c r="C10" s="141">
        <v>1.4999999999999999E-2</v>
      </c>
      <c r="D10" s="140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ht="12.75" customHeight="1" x14ac:dyDescent="0.2">
      <c r="A11" s="137" t="s">
        <v>143</v>
      </c>
      <c r="B11" s="138" t="s">
        <v>144</v>
      </c>
      <c r="C11" s="141">
        <v>0.01</v>
      </c>
      <c r="D11" s="140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ht="12.75" customHeight="1" x14ac:dyDescent="0.2">
      <c r="A12" s="137" t="s">
        <v>145</v>
      </c>
      <c r="B12" s="138" t="s">
        <v>146</v>
      </c>
      <c r="C12" s="141">
        <v>2E-3</v>
      </c>
      <c r="D12" s="140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2.75" customHeight="1" x14ac:dyDescent="0.2">
      <c r="A13" s="137" t="s">
        <v>147</v>
      </c>
      <c r="B13" s="138" t="s">
        <v>148</v>
      </c>
      <c r="C13" s="141">
        <v>6.0000000000000001E-3</v>
      </c>
      <c r="D13" s="140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2.75" customHeight="1" x14ac:dyDescent="0.2">
      <c r="A14" s="137" t="s">
        <v>149</v>
      </c>
      <c r="B14" s="138" t="s">
        <v>150</v>
      </c>
      <c r="C14" s="141">
        <v>2.5000000000000001E-2</v>
      </c>
      <c r="D14" s="140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ht="12.75" customHeight="1" x14ac:dyDescent="0.2">
      <c r="A15" s="137" t="s">
        <v>151</v>
      </c>
      <c r="B15" s="138" t="s">
        <v>152</v>
      </c>
      <c r="C15" s="141">
        <v>0.03</v>
      </c>
      <c r="D15" s="140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12.75" customHeight="1" x14ac:dyDescent="0.2">
      <c r="A16" s="137" t="s">
        <v>153</v>
      </c>
      <c r="B16" s="138" t="s">
        <v>154</v>
      </c>
      <c r="C16" s="141">
        <v>0.08</v>
      </c>
      <c r="D16" s="140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2.75" customHeight="1" x14ac:dyDescent="0.2">
      <c r="A17" s="137" t="s">
        <v>155</v>
      </c>
      <c r="B17" s="142" t="s">
        <v>156</v>
      </c>
      <c r="C17" s="143">
        <f>SUM(C9:C16)</f>
        <v>0.36800000000000005</v>
      </c>
      <c r="D17" s="140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2.75" customHeight="1" x14ac:dyDescent="0.2">
      <c r="A18" s="144"/>
      <c r="B18" s="145"/>
      <c r="C18" s="146"/>
      <c r="D18" s="140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2.75" customHeight="1" x14ac:dyDescent="0.2">
      <c r="A19" s="137" t="s">
        <v>157</v>
      </c>
      <c r="B19" s="147" t="s">
        <v>158</v>
      </c>
      <c r="C19" s="141">
        <f>ROUND(IF('3.CAGED'!C28&gt;24,(1-12/'3.CAGED'!C28)*0.1111,0.1111-C28),4)</f>
        <v>6.1899999999999997E-2</v>
      </c>
      <c r="D19" s="140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2.75" customHeight="1" x14ac:dyDescent="0.2">
      <c r="A20" s="137" t="s">
        <v>159</v>
      </c>
      <c r="B20" s="147" t="s">
        <v>160</v>
      </c>
      <c r="C20" s="141">
        <f>ROUND('3.CAGED'!C32/'3.CAGED'!C29,4)</f>
        <v>8.3299999999999999E-2</v>
      </c>
      <c r="D20" s="140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2.75" customHeight="1" x14ac:dyDescent="0.2">
      <c r="A21" s="137" t="s">
        <v>161</v>
      </c>
      <c r="B21" s="147" t="s">
        <v>162</v>
      </c>
      <c r="C21" s="141">
        <v>5.9999999999999995E-4</v>
      </c>
      <c r="D21" s="140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2.75" customHeight="1" x14ac:dyDescent="0.2">
      <c r="A22" s="137" t="s">
        <v>163</v>
      </c>
      <c r="B22" s="147" t="s">
        <v>164</v>
      </c>
      <c r="C22" s="141">
        <v>8.2000000000000007E-3</v>
      </c>
      <c r="D22" s="140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2.75" customHeight="1" x14ac:dyDescent="0.2">
      <c r="A23" s="137" t="s">
        <v>165</v>
      </c>
      <c r="B23" s="147" t="s">
        <v>166</v>
      </c>
      <c r="C23" s="141">
        <v>3.0999999999999999E-3</v>
      </c>
      <c r="D23" s="140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2.75" customHeight="1" x14ac:dyDescent="0.2">
      <c r="A24" s="137" t="s">
        <v>167</v>
      </c>
      <c r="B24" s="147" t="s">
        <v>168</v>
      </c>
      <c r="C24" s="141">
        <v>1.66E-2</v>
      </c>
      <c r="D24" s="140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2.75" customHeight="1" x14ac:dyDescent="0.2">
      <c r="A25" s="137" t="s">
        <v>169</v>
      </c>
      <c r="B25" s="142" t="s">
        <v>170</v>
      </c>
      <c r="C25" s="143">
        <f>SUM(C19:C24)</f>
        <v>0.17369999999999999</v>
      </c>
      <c r="D25" s="148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ht="12.75" customHeight="1" x14ac:dyDescent="0.2">
      <c r="A26" s="144"/>
      <c r="B26" s="145"/>
      <c r="C26" s="146"/>
      <c r="D26" s="148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ht="12.75" customHeight="1" x14ac:dyDescent="0.2">
      <c r="A27" s="137" t="s">
        <v>171</v>
      </c>
      <c r="B27" s="138" t="s">
        <v>172</v>
      </c>
      <c r="C27" s="141">
        <f>ROUND(('3.CAGED'!C33) *'3.CAGED'!C26/'3.CAGED'!C29,4)</f>
        <v>2.5600000000000001E-2</v>
      </c>
      <c r="D27" s="140"/>
      <c r="E27" s="149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2.75" customHeight="1" x14ac:dyDescent="0.2">
      <c r="A28" s="137" t="s">
        <v>173</v>
      </c>
      <c r="B28" s="138" t="s">
        <v>174</v>
      </c>
      <c r="C28" s="141">
        <f>ROUND(IF('3.CAGED'!C28&gt;12,12/'3.CAGED'!C28*0.1111,0.1111),4)</f>
        <v>4.9200000000000001E-2</v>
      </c>
      <c r="D28" s="140"/>
      <c r="E28" s="134"/>
      <c r="F28" s="134"/>
      <c r="G28" s="134"/>
      <c r="H28" s="150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:26" ht="12.75" customHeight="1" x14ac:dyDescent="0.2">
      <c r="A29" s="137" t="s">
        <v>175</v>
      </c>
      <c r="B29" s="138" t="s">
        <v>176</v>
      </c>
      <c r="C29" s="141">
        <f>C27*C28</f>
        <v>1.2595200000000001E-3</v>
      </c>
      <c r="D29" s="140"/>
      <c r="E29" s="149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2.75" customHeight="1" x14ac:dyDescent="0.2">
      <c r="A30" s="137" t="s">
        <v>177</v>
      </c>
      <c r="B30" s="138" t="s">
        <v>178</v>
      </c>
      <c r="C30" s="141">
        <f>ROUND(('3.CAGED'!C29+'3.CAGED'!C30+'3.CAGED'!C32)/'3.CAGED'!C27*'3.CAGED'!C34*'3.CAGED'!C35*'3.CAGED'!C26/'3.CAGED'!C29,4)</f>
        <v>2.0500000000000001E-2</v>
      </c>
      <c r="D30" s="140"/>
      <c r="E30" s="134"/>
      <c r="F30" s="134"/>
      <c r="G30" s="149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2.75" customHeight="1" x14ac:dyDescent="0.2">
      <c r="A31" s="137" t="s">
        <v>179</v>
      </c>
      <c r="B31" s="138" t="s">
        <v>180</v>
      </c>
      <c r="C31" s="141">
        <f>ROUND(('3.CAGED'!C31/'3.CAGED'!C29)*'3.CAGED'!C26/12,4)</f>
        <v>1.8E-3</v>
      </c>
      <c r="D31" s="140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2.75" customHeight="1" x14ac:dyDescent="0.2">
      <c r="A32" s="137" t="s">
        <v>181</v>
      </c>
      <c r="B32" s="142" t="s">
        <v>182</v>
      </c>
      <c r="C32" s="143">
        <f>SUM(C27:C31)</f>
        <v>9.8359520000000006E-2</v>
      </c>
      <c r="D32" s="148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ht="12.75" customHeight="1" x14ac:dyDescent="0.2">
      <c r="A33" s="144"/>
      <c r="B33" s="145"/>
      <c r="C33" s="146"/>
      <c r="D33" s="148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ht="12.75" customHeight="1" x14ac:dyDescent="0.2">
      <c r="A34" s="137" t="s">
        <v>183</v>
      </c>
      <c r="B34" s="138" t="s">
        <v>184</v>
      </c>
      <c r="C34" s="141">
        <f>ROUND(C17*C25,4)</f>
        <v>6.3899999999999998E-2</v>
      </c>
      <c r="D34" s="140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spans="1:26" ht="12.75" customHeight="1" x14ac:dyDescent="0.2">
      <c r="A35" s="137" t="s">
        <v>185</v>
      </c>
      <c r="B35" s="151" t="s">
        <v>186</v>
      </c>
      <c r="C35" s="141">
        <f>ROUND((C27*C16),4)</f>
        <v>2E-3</v>
      </c>
      <c r="D35" s="140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26" ht="12.75" customHeight="1" x14ac:dyDescent="0.2">
      <c r="A36" s="137" t="s">
        <v>187</v>
      </c>
      <c r="B36" s="142" t="s">
        <v>188</v>
      </c>
      <c r="C36" s="143">
        <f>SUM(C34:C35)</f>
        <v>6.59E-2</v>
      </c>
      <c r="D36" s="148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2.75" customHeight="1" x14ac:dyDescent="0.2">
      <c r="A37" s="152"/>
      <c r="B37" s="153" t="s">
        <v>189</v>
      </c>
      <c r="C37" s="154">
        <f>C36+C32+C25+C17</f>
        <v>0.70595951999999995</v>
      </c>
      <c r="D37" s="148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2.75" customHeight="1" x14ac:dyDescent="0.2">
      <c r="A38" s="140"/>
      <c r="B38" s="155"/>
      <c r="C38" s="156"/>
      <c r="D38" s="157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ht="12.75" customHeight="1" x14ac:dyDescent="0.2">
      <c r="A39" s="140"/>
      <c r="B39" s="140"/>
      <c r="C39" s="158"/>
      <c r="D39" s="159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ht="12.75" customHeight="1" x14ac:dyDescent="0.2">
      <c r="A40" s="140"/>
      <c r="B40" s="140"/>
      <c r="C40" s="158"/>
      <c r="D40" s="140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ht="12.75" customHeight="1" x14ac:dyDescent="0.2">
      <c r="A41" s="140"/>
      <c r="B41" s="140"/>
      <c r="C41" s="158"/>
      <c r="D41" s="140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ht="12.75" customHeight="1" x14ac:dyDescent="0.2">
      <c r="A42" s="140"/>
      <c r="B42" s="140"/>
      <c r="C42" s="158"/>
      <c r="D42" s="140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2.75" customHeight="1" x14ac:dyDescent="0.2">
      <c r="A43" s="140"/>
      <c r="B43" s="155"/>
      <c r="C43" s="156"/>
      <c r="D43" s="140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6" ht="12.75" customHeight="1" x14ac:dyDescent="0.2">
      <c r="A44" s="148"/>
      <c r="B44" s="155"/>
      <c r="C44" s="156"/>
      <c r="D44" s="148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spans="1:26" ht="12.75" customHeight="1" x14ac:dyDescent="0.2">
      <c r="A45" s="160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spans="1:26" ht="12.75" customHeight="1" x14ac:dyDescent="0.2">
      <c r="A46" s="161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:26" ht="12.75" customHeight="1" x14ac:dyDescent="0.2">
      <c r="A47" s="140"/>
      <c r="B47" s="162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2.75" customHeight="1" x14ac:dyDescent="0.2">
      <c r="A48" s="140"/>
      <c r="B48" s="162"/>
      <c r="C48" s="140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spans="1:26" ht="12.75" customHeight="1" x14ac:dyDescent="0.2">
      <c r="A49" s="140"/>
      <c r="B49" s="158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:26" ht="12.75" customHeight="1" x14ac:dyDescent="0.2">
      <c r="A50" s="140"/>
      <c r="B50" s="162"/>
      <c r="C50" s="140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:26" ht="12.75" customHeight="1" x14ac:dyDescent="0.2">
      <c r="A51" s="140"/>
      <c r="B51" s="158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spans="1:26" ht="12.75" customHeight="1" x14ac:dyDescent="0.2">
      <c r="A52" s="140"/>
      <c r="B52" s="162"/>
      <c r="C52" s="140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spans="1:26" ht="12.75" customHeight="1" x14ac:dyDescent="0.2">
      <c r="A53" s="140"/>
      <c r="B53" s="158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spans="1:26" ht="12.75" customHeight="1" x14ac:dyDescent="0.2">
      <c r="A54" s="140"/>
      <c r="B54" s="162"/>
      <c r="C54" s="140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spans="1:26" ht="12.75" customHeight="1" x14ac:dyDescent="0.2">
      <c r="A55" s="140"/>
      <c r="B55" s="158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spans="1:26" ht="12.75" customHeight="1" x14ac:dyDescent="0.2">
      <c r="A56" s="160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spans="1:26" ht="12.75" customHeight="1" x14ac:dyDescent="0.2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spans="1:26" ht="12.7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spans="1:26" ht="12.75" customHeight="1" x14ac:dyDescent="0.2">
      <c r="A59" s="96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spans="1:26" ht="12.75" customHeight="1" x14ac:dyDescent="0.2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spans="1:26" ht="12.75" customHeight="1" x14ac:dyDescent="0.2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spans="1:26" ht="12.75" customHeight="1" x14ac:dyDescent="0.2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spans="1:26" ht="12.75" customHeight="1" x14ac:dyDescent="0.2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:26" ht="12.75" customHeight="1" x14ac:dyDescent="0.2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spans="1:26" ht="12.75" customHeight="1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spans="1:26" ht="12.75" customHeight="1" x14ac:dyDescent="0.2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spans="1:26" ht="12.75" customHeight="1" x14ac:dyDescent="0.2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spans="1:26" ht="12.75" customHeight="1" x14ac:dyDescent="0.2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spans="1:26" ht="12.75" customHeight="1" x14ac:dyDescent="0.2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spans="1:26" ht="12.75" customHeight="1" x14ac:dyDescent="0.2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spans="1:26" ht="12.75" customHeight="1" x14ac:dyDescent="0.2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spans="1:26" ht="12.75" customHeight="1" x14ac:dyDescent="0.2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spans="1:26" ht="12.75" customHeight="1" x14ac:dyDescent="0.2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spans="1:26" ht="12.75" customHeight="1" x14ac:dyDescent="0.2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spans="1:26" ht="12.7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spans="1:26" ht="12.7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spans="1:26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spans="1:26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spans="1:26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spans="1:26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spans="1:26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spans="1:26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spans="1:26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spans="1:26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:26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spans="1:26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spans="1:26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spans="1:26" ht="12.75" customHeight="1" x14ac:dyDescent="0.2">
      <c r="A89" s="134" t="s">
        <v>190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spans="1:26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spans="1:26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spans="1:26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spans="1:26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spans="1:26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spans="1:26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spans="1:26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spans="1:26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spans="1:26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spans="1:26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spans="1:26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spans="1:26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spans="1:26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spans="1:26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spans="1:26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spans="1:26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spans="1:26" ht="12.75" customHeight="1" x14ac:dyDescent="0.2">
      <c r="A106" s="134"/>
      <c r="B106" s="134"/>
      <c r="C106" s="134"/>
      <c r="D106" s="134">
        <v>11.7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spans="1:26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spans="1:26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spans="1:26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spans="1:26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spans="1:26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spans="1:26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spans="1:26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:26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spans="1:26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spans="1:26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spans="1:26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spans="1:26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spans="1:26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spans="1:26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spans="1:26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spans="1:26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spans="1:26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spans="1:26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spans="1:26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spans="1:26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spans="1:26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spans="1:26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spans="1:26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spans="1:26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spans="1:26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spans="1:26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spans="1:26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spans="1:26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spans="1:26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spans="1:26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spans="1:26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spans="1:26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spans="1:26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spans="1:26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spans="1:26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spans="1:26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spans="1:26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spans="1:26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spans="1:26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spans="1:26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spans="1:26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spans="1:26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spans="1:26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spans="1:26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spans="1:26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spans="1:26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spans="1:26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spans="1:26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spans="1:26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spans="1:26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spans="1:26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spans="1:26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spans="1:26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spans="1:26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spans="1:26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spans="1:26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spans="1:26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spans="1:26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spans="1:26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spans="1:26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spans="1:26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spans="1:26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spans="1:26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spans="1:26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spans="1:26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spans="1:26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spans="1:26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spans="1:26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spans="1:26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spans="1:26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spans="1:26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spans="1:26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spans="1:26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spans="1:26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spans="1:26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spans="1:26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spans="1:26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spans="1:26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spans="1:26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spans="1:26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spans="1:26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spans="1:26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spans="1:26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spans="1:26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spans="1:26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spans="1:26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spans="1:26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spans="1:26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spans="1:26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spans="1:26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spans="1:26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spans="1:26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spans="1:26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spans="1:26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spans="1:26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spans="1:26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spans="1:26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spans="1:26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spans="1:26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spans="1:26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spans="1:26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spans="1:26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spans="1:26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spans="1:26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spans="1:26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spans="1:26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spans="1:26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spans="1:26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spans="1:26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spans="1:26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spans="1:26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spans="1:26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spans="1:26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spans="1:26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spans="1:26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spans="1:26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spans="1:26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spans="1:26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spans="1:26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spans="1:26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spans="1:26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spans="1:26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spans="1:26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spans="1:26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spans="1:26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spans="1:26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spans="1:26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spans="1:26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spans="1:26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spans="1:26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spans="1:26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spans="1:26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spans="1:26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spans="1:26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spans="1:26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spans="1:26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spans="1:26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spans="1:26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spans="1:26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spans="1:26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spans="1:26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spans="1:26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spans="1:26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spans="1:26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spans="1:26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spans="1:26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spans="1:26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spans="1:26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spans="1:26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spans="1:26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spans="1:26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spans="1:26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spans="1:26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spans="1:26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spans="1:26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spans="1:26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spans="1:26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spans="1:26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spans="1:26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spans="1:26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spans="1:26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spans="1:26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spans="1:26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spans="1:26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spans="1:26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spans="1:26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spans="1:26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spans="1:26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spans="1:26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spans="1:26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spans="1:26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spans="1:26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spans="1:26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spans="1:26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spans="1:26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spans="1:26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spans="1:26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spans="1:26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spans="1:26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spans="1:26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spans="1:26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spans="1:26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spans="1:26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spans="1:26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spans="1:26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spans="1:26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spans="1:26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spans="1:26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spans="1:26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spans="1:26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spans="1:26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spans="1:26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spans="1:26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spans="1:26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spans="1:26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spans="1:26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spans="1:26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spans="1:26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spans="1:26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spans="1:26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spans="1:26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spans="1:26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spans="1:26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spans="1:26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spans="1:26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spans="1:26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spans="1:26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spans="1:26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spans="1:26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spans="1:26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spans="1:26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spans="1:26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spans="1:26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spans="1:26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spans="1:26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spans="1:26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spans="1:26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spans="1:26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spans="1:26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spans="1:26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spans="1:26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spans="1:26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spans="1:26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spans="1:26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spans="1:26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spans="1:26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spans="1:26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spans="1:26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spans="1:26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spans="1:26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spans="1:26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spans="1:26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spans="1:26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spans="1:26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spans="1:26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spans="1:26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spans="1:26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spans="1:26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spans="1:26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spans="1:26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spans="1:26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spans="1:26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spans="1:26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spans="1:26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spans="1:26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spans="1:26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spans="1:26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spans="1:26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spans="1:26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spans="1:26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spans="1:26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spans="1:26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spans="1:26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spans="1:26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spans="1:26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spans="1:26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spans="1:26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spans="1:26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spans="1:26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spans="1:26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spans="1:26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spans="1:26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spans="1:26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spans="1:26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spans="1:26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spans="1:26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spans="1:26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spans="1:26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spans="1:26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spans="1:26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spans="1:26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spans="1:26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spans="1:26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spans="1:26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spans="1:26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spans="1:26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spans="1:26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spans="1:26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spans="1:26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spans="1:26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spans="1:26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spans="1:26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spans="1:26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spans="1:26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spans="1:26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spans="1:26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spans="1:26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spans="1:26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spans="1:26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spans="1:26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spans="1:26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spans="1:26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spans="1:26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spans="1:26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spans="1:26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spans="1:26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spans="1:26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spans="1:26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spans="1:26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spans="1:26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spans="1:26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spans="1:26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spans="1:26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spans="1:26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spans="1:26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spans="1:26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spans="1:26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spans="1:26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spans="1:26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spans="1:26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spans="1:26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spans="1:26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spans="1:26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spans="1:26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spans="1:26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spans="1:26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spans="1:26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spans="1:26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spans="1:26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spans="1:26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spans="1:26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spans="1:26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spans="1:26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spans="1:26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spans="1:26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spans="1:26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spans="1:26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spans="1:26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spans="1:26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spans="1:26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spans="1:26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spans="1:26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spans="1:26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spans="1:26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spans="1:26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spans="1:26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spans="1:26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spans="1:26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spans="1:26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spans="1:26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spans="1:26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spans="1:26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spans="1:26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spans="1:26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spans="1:26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spans="1:26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spans="1:26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spans="1:26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spans="1:26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spans="1:26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spans="1:26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spans="1:26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spans="1:26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spans="1:26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spans="1:26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spans="1:26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spans="1:26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spans="1:26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spans="1:26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spans="1:26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spans="1:26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spans="1:26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spans="1:26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spans="1:26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spans="1:26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spans="1:26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spans="1:26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spans="1:26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spans="1:26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spans="1:26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spans="1:26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spans="1:26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spans="1:26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spans="1:26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spans="1:26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spans="1:26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spans="1:26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spans="1:26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spans="1:26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spans="1:26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spans="1:26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spans="1:26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spans="1:26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spans="1:26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spans="1:26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spans="1:26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spans="1:26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spans="1:26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spans="1:26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spans="1:26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spans="1:26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spans="1:26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spans="1:26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spans="1:26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spans="1:26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spans="1:26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spans="1:26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spans="1:26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spans="1:26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spans="1:26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spans="1:26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spans="1:26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spans="1:26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spans="1:26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spans="1:26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spans="1:26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spans="1:26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spans="1:26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spans="1:26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spans="1:26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spans="1:26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spans="1:26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spans="1:26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spans="1:26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spans="1:26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spans="1:26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spans="1:26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spans="1:26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spans="1:26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spans="1:26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spans="1:26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spans="1:26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spans="1:26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spans="1:26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spans="1:26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spans="1:26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spans="1:26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spans="1:26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spans="1:26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spans="1:26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spans="1:26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spans="1:26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spans="1:26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spans="1:26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spans="1:26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spans="1:26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spans="1:26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spans="1:26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spans="1:26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spans="1:26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spans="1:26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spans="1:26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spans="1:26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spans="1:26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spans="1:26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spans="1:26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spans="1:26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spans="1:26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spans="1:26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spans="1:26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spans="1:26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spans="1:26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spans="1:26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spans="1:26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spans="1:26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spans="1:26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spans="1:26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spans="1:26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spans="1:26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spans="1:26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spans="1:26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spans="1:26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spans="1:26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spans="1:26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spans="1:26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spans="1:26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spans="1:26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spans="1:26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spans="1:26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spans="1:26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spans="1:26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spans="1:26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spans="1:26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spans="1:26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spans="1:26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spans="1:26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spans="1:26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spans="1:26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spans="1:26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spans="1:26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spans="1:26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spans="1:26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spans="1:26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spans="1:26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spans="1:26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spans="1:26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spans="1:26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spans="1:26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spans="1:26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spans="1:26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spans="1:26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spans="1:26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spans="1:26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spans="1:26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spans="1:26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spans="1:26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spans="1:26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spans="1:26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spans="1:26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spans="1:26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spans="1:26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spans="1:26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spans="1:26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spans="1:26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spans="1:26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spans="1:26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spans="1:26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spans="1:26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spans="1:26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spans="1:26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spans="1:26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spans="1:26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spans="1:26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spans="1:26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spans="1:26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spans="1:26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spans="1:26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spans="1:26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spans="1:26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spans="1:26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spans="1:26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spans="1:26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spans="1:26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spans="1:26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spans="1:26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spans="1:26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spans="1:26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spans="1:26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spans="1:26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spans="1:26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spans="1:26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spans="1:26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spans="1:26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spans="1:26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spans="1:26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spans="1:26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spans="1:26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spans="1:26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spans="1:26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spans="1:26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spans="1:26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spans="1:26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spans="1:26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spans="1:26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spans="1:26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spans="1:26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spans="1:26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spans="1:26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spans="1:26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spans="1:26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spans="1:26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spans="1:26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spans="1:26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spans="1:26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spans="1:26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spans="1:26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spans="1:26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spans="1:26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spans="1:26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spans="1:26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spans="1:26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spans="1:26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spans="1:26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spans="1:26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spans="1:26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spans="1:26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spans="1:26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spans="1:26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spans="1:26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spans="1:26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spans="1:26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spans="1:26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spans="1:26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spans="1:26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spans="1:26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spans="1:26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spans="1:26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spans="1:26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spans="1:26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spans="1:26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spans="1:26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spans="1:26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spans="1:26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spans="1:26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spans="1:26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spans="1:26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spans="1:26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spans="1:26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spans="1:26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spans="1:26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spans="1:26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spans="1:26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spans="1:26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spans="1:26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spans="1:26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spans="1:26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spans="1:26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spans="1:26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spans="1:26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spans="1:26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spans="1:26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spans="1:26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spans="1:26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spans="1:26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spans="1:26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spans="1:26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spans="1:26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spans="1:26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spans="1:26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spans="1:26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spans="1:26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spans="1:26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spans="1:26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spans="1:26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spans="1:26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spans="1:26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spans="1:26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spans="1:26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spans="1:26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spans="1:26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spans="1:26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spans="1:26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spans="1:26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spans="1:26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spans="1:26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spans="1:26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spans="1:26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spans="1:26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spans="1:26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spans="1:26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spans="1:26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spans="1:26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spans="1:26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spans="1:26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spans="1:26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spans="1:26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spans="1:26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spans="1:26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spans="1:26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spans="1:26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spans="1:26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spans="1:26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spans="1:26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spans="1:26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spans="1:26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spans="1:26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spans="1:26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spans="1:26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spans="1:26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spans="1:26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spans="1:26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spans="1:26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spans="1:26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spans="1:26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spans="1:26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spans="1:26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spans="1:26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spans="1:26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spans="1:26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spans="1:26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spans="1:26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spans="1:26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spans="1:26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spans="1:26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spans="1:26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spans="1:26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spans="1:26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spans="1:26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spans="1:26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spans="1:26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spans="1:26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spans="1:26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spans="1:26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spans="1:26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spans="1:26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spans="1:26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spans="1:26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spans="1:26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spans="1:26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spans="1:26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spans="1:26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spans="1:26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spans="1:26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spans="1:26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spans="1:26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spans="1:26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spans="1:26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spans="1:26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spans="1:26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spans="1:26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spans="1:26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spans="1:26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spans="1:26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spans="1:26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spans="1:26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spans="1:26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spans="1:26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spans="1:26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spans="1:26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spans="1:26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spans="1:26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spans="1:26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spans="1:26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spans="1:26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spans="1:26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spans="1:26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spans="1:26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spans="1:26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spans="1:26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spans="1:26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spans="1:26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spans="1:26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spans="1:26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spans="1:26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spans="1:26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spans="1:26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spans="1:26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spans="1:26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spans="1:26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spans="1:26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spans="1:26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spans="1:26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spans="1:26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spans="1:26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spans="1:26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spans="1:26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spans="1:26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spans="1:26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spans="1:26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spans="1:26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spans="1:26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spans="1:26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spans="1:26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spans="1:26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spans="1:26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spans="1:26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spans="1:26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spans="1:26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spans="1:26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spans="1:26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spans="1:26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spans="1:26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spans="1:26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spans="1:26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spans="1:26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spans="1:26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spans="1:26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spans="1:26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spans="1:26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spans="1:26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spans="1:26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spans="1:26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spans="1:26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spans="1:26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spans="1:26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spans="1:26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spans="1:26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spans="1:26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spans="1:26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spans="1:26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spans="1:26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spans="1:26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spans="1:26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spans="1:26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spans="1:26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spans="1:26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spans="1:26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spans="1:26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spans="1:26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spans="1:26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spans="1:26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spans="1:26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spans="1:26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spans="1:26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spans="1:26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spans="1:26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spans="1:26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spans="1:26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spans="1:26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spans="1:26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spans="1:26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spans="1:26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spans="1:26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spans="1:26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spans="1:26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spans="1:26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spans="1:26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spans="1:26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spans="1:26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spans="1:26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spans="1:26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spans="1:26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spans="1:26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spans="1:26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spans="1:26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spans="1:26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spans="1:26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spans="1:26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spans="1:26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spans="1:26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spans="1:26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spans="1:26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spans="1:26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spans="1:26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spans="1:26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spans="1:26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spans="1:26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spans="1:26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spans="1:26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spans="1:26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spans="1:26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spans="1:26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spans="1:26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spans="1:26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spans="1:26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spans="1:26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spans="1:26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spans="1:26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spans="1:26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spans="1:26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spans="1:26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spans="1:26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spans="1:26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spans="1:26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spans="1:26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spans="1:26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spans="1:26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spans="1:26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spans="1:26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spans="1:26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spans="1:26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spans="1:26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spans="1:26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spans="1:26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spans="1:26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spans="1:26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spans="1:26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spans="1:26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spans="1:26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spans="1:26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spans="1:26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spans="1:26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spans="1:26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spans="1:26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spans="1:26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spans="1:26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spans="1:26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spans="1:26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spans="1:26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spans="1:26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spans="1:26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spans="1:26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spans="1:26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spans="1:26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spans="1:26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spans="1:26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spans="1:26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spans="1:26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spans="1:26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spans="1:26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spans="1:26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spans="1:26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spans="1:26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spans="1:26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spans="1:26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spans="1:26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spans="1:26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spans="1:26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spans="1:26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spans="1:26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spans="1:26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spans="1:26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spans="1:26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spans="1:26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spans="1:26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spans="1:26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spans="1:26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spans="1:26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spans="1:26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spans="1:26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spans="1:26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spans="1:26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spans="1:26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spans="1:26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spans="1:26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spans="1:26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spans="1:26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spans="1:26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mergeCells count="1">
    <mergeCell ref="A7:C7"/>
  </mergeCells>
  <pageMargins left="0.90551181102362199" right="0.5118110236220472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C1"/>
    </sheetView>
  </sheetViews>
  <sheetFormatPr defaultColWidth="14.42578125" defaultRowHeight="15" customHeight="1" x14ac:dyDescent="0.2"/>
  <cols>
    <col min="1" max="1" width="8.5703125" customWidth="1"/>
    <col min="2" max="2" width="76.140625" customWidth="1"/>
    <col min="3" max="3" width="15.85546875" customWidth="1"/>
    <col min="4" max="4" width="10.28515625" customWidth="1"/>
    <col min="5" max="5" width="13.7109375" customWidth="1"/>
    <col min="6" max="26" width="9.140625" customWidth="1"/>
  </cols>
  <sheetData>
    <row r="1" spans="1:26" ht="42" customHeight="1" x14ac:dyDescent="0.2">
      <c r="A1" s="274" t="s">
        <v>191</v>
      </c>
      <c r="B1" s="275"/>
      <c r="C1" s="275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2.7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75" customHeight="1" x14ac:dyDescent="0.2">
      <c r="A3" s="16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12.7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2.75" customHeight="1" x14ac:dyDescent="0.2">
      <c r="A5" s="16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2.75" customHeight="1" x14ac:dyDescent="0.2">
      <c r="A6" s="134"/>
      <c r="B6" s="134"/>
      <c r="C6" s="134"/>
      <c r="D6" s="134"/>
      <c r="E6" s="16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2.75" customHeight="1" x14ac:dyDescent="0.25">
      <c r="A7" s="134"/>
      <c r="B7" s="276" t="s">
        <v>192</v>
      </c>
      <c r="C7" s="27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2.75" customHeight="1" x14ac:dyDescent="0.25">
      <c r="A8" s="134"/>
      <c r="B8" s="165" t="s">
        <v>193</v>
      </c>
      <c r="C8" s="166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2.75" customHeight="1" x14ac:dyDescent="0.25">
      <c r="A9" s="134"/>
      <c r="B9" s="167" t="s">
        <v>194</v>
      </c>
      <c r="C9" s="168">
        <v>2100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ht="12.75" customHeight="1" x14ac:dyDescent="0.25">
      <c r="A10" s="134"/>
      <c r="B10" s="169" t="s">
        <v>195</v>
      </c>
      <c r="C10" s="168">
        <v>2031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ht="12.75" customHeight="1" x14ac:dyDescent="0.2">
      <c r="A11" s="134"/>
      <c r="B11" s="170" t="s">
        <v>196</v>
      </c>
      <c r="C11" s="171">
        <v>44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ht="12.75" customHeight="1" x14ac:dyDescent="0.2">
      <c r="A12" s="134"/>
      <c r="B12" s="170" t="s">
        <v>197</v>
      </c>
      <c r="C12" s="171">
        <v>1192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2.75" customHeight="1" x14ac:dyDescent="0.2">
      <c r="A13" s="134"/>
      <c r="B13" s="170" t="s">
        <v>198</v>
      </c>
      <c r="C13" s="171">
        <v>372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2.75" customHeight="1" x14ac:dyDescent="0.2">
      <c r="A14" s="134"/>
      <c r="B14" s="170" t="s">
        <v>199</v>
      </c>
      <c r="C14" s="171">
        <v>22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ht="12.75" customHeight="1" x14ac:dyDescent="0.2">
      <c r="A15" s="134"/>
      <c r="B15" s="170" t="s">
        <v>200</v>
      </c>
      <c r="C15" s="171">
        <v>350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12.75" customHeight="1" x14ac:dyDescent="0.2">
      <c r="A16" s="134"/>
      <c r="B16" s="170" t="s">
        <v>201</v>
      </c>
      <c r="C16" s="171">
        <v>1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2.75" customHeight="1" x14ac:dyDescent="0.2">
      <c r="A17" s="134"/>
      <c r="B17" s="170" t="s">
        <v>202</v>
      </c>
      <c r="C17" s="171">
        <v>30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2.75" customHeight="1" x14ac:dyDescent="0.2">
      <c r="A18" s="134"/>
      <c r="B18" s="172" t="s">
        <v>203</v>
      </c>
      <c r="C18" s="173">
        <v>0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2.75" customHeight="1" x14ac:dyDescent="0.2">
      <c r="A19" s="134"/>
      <c r="B19" s="174" t="s">
        <v>204</v>
      </c>
      <c r="C19" s="173">
        <v>0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2.75" customHeight="1" x14ac:dyDescent="0.25">
      <c r="A20" s="134" t="s">
        <v>205</v>
      </c>
      <c r="B20" s="165" t="s">
        <v>206</v>
      </c>
      <c r="C20" s="166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2.75" customHeight="1" x14ac:dyDescent="0.2">
      <c r="A21" s="134"/>
      <c r="B21" s="175" t="s">
        <v>207</v>
      </c>
      <c r="C21" s="176">
        <v>4625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2.75" customHeight="1" x14ac:dyDescent="0.2">
      <c r="A22" s="134"/>
      <c r="B22" s="170" t="s">
        <v>208</v>
      </c>
      <c r="C22" s="171">
        <v>4694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2.75" customHeight="1" x14ac:dyDescent="0.2">
      <c r="A23" s="134"/>
      <c r="B23" s="170" t="s">
        <v>209</v>
      </c>
      <c r="C23" s="177">
        <f>C9-C10</f>
        <v>69</v>
      </c>
      <c r="D23" s="134"/>
      <c r="E23" s="178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2.75" customHeight="1" x14ac:dyDescent="0.2">
      <c r="A24" s="134"/>
      <c r="B24" s="179"/>
      <c r="C24" s="180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2.75" customHeight="1" x14ac:dyDescent="0.25">
      <c r="A25" s="181"/>
      <c r="B25" s="167" t="s">
        <v>210</v>
      </c>
      <c r="C25" s="182">
        <f>MEDIAN(C21,C22)</f>
        <v>4659.5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6" ht="12.75" customHeight="1" x14ac:dyDescent="0.25">
      <c r="A26" s="134"/>
      <c r="B26" s="169" t="s">
        <v>211</v>
      </c>
      <c r="C26" s="183">
        <f>C12/C25</f>
        <v>0.25582144006867691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ht="12.75" customHeight="1" x14ac:dyDescent="0.25">
      <c r="A27" s="134"/>
      <c r="B27" s="169" t="s">
        <v>212</v>
      </c>
      <c r="C27" s="183">
        <f>MEDIAN(C9,C10)/C25</f>
        <v>0.44328790642772831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2.75" customHeight="1" x14ac:dyDescent="0.25">
      <c r="A28" s="181"/>
      <c r="B28" s="169" t="s">
        <v>213</v>
      </c>
      <c r="C28" s="184">
        <f>12/C27</f>
        <v>27.070442992011618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</row>
    <row r="29" spans="1:26" ht="12.75" customHeight="1" x14ac:dyDescent="0.25">
      <c r="A29" s="134"/>
      <c r="B29" s="169" t="s">
        <v>214</v>
      </c>
      <c r="C29" s="185">
        <v>360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2.75" customHeight="1" x14ac:dyDescent="0.25">
      <c r="A30" s="134"/>
      <c r="B30" s="169" t="s">
        <v>215</v>
      </c>
      <c r="C30" s="185">
        <v>10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2.75" customHeight="1" x14ac:dyDescent="0.25">
      <c r="A31" s="134"/>
      <c r="B31" s="167" t="s">
        <v>216</v>
      </c>
      <c r="C31" s="182">
        <v>30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2.75" customHeight="1" x14ac:dyDescent="0.25">
      <c r="A32" s="134"/>
      <c r="B32" s="167" t="s">
        <v>217</v>
      </c>
      <c r="C32" s="182">
        <v>30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ht="12.75" customHeight="1" x14ac:dyDescent="0.25">
      <c r="A33" s="181"/>
      <c r="B33" s="167" t="s">
        <v>218</v>
      </c>
      <c r="C33" s="182">
        <f>30+(3*TRUNC(1/C27))</f>
        <v>36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</row>
    <row r="34" spans="1:26" ht="12.75" customHeight="1" x14ac:dyDescent="0.25">
      <c r="A34" s="181"/>
      <c r="B34" s="169" t="s">
        <v>154</v>
      </c>
      <c r="C34" s="186">
        <v>0.08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</row>
    <row r="35" spans="1:26" ht="12.75" customHeight="1" x14ac:dyDescent="0.25">
      <c r="A35" s="181"/>
      <c r="B35" s="187" t="s">
        <v>219</v>
      </c>
      <c r="C35" s="188">
        <v>0.4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</row>
    <row r="36" spans="1:26" ht="12.75" customHeight="1" x14ac:dyDescent="0.2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2.75" customHeight="1" x14ac:dyDescent="0.2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2.75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ht="12.75" customHeight="1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ht="12.75" customHeight="1" x14ac:dyDescent="0.2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ht="12.75" customHeight="1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ht="12.75" customHeight="1" x14ac:dyDescent="0.2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2.75" customHeight="1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6" ht="12.75" customHeight="1" x14ac:dyDescent="0.2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spans="1:26" ht="12.75" customHeight="1" x14ac:dyDescent="0.2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spans="1:26" ht="12.75" customHeight="1" x14ac:dyDescent="0.2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:26" ht="12.75" customHeight="1" x14ac:dyDescent="0.2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2.75" customHeight="1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spans="1:26" ht="12.75" customHeight="1" x14ac:dyDescent="0.2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:26" ht="12.75" customHeight="1" x14ac:dyDescent="0.2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:26" ht="12.75" customHeight="1" x14ac:dyDescent="0.2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spans="1:26" ht="12.75" customHeight="1" x14ac:dyDescent="0.2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spans="1:26" ht="12.75" customHeight="1" x14ac:dyDescent="0.2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spans="1:26" ht="12.75" customHeight="1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spans="1:26" ht="12.75" customHeight="1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spans="1:26" ht="12.75" customHeight="1" x14ac:dyDescent="0.2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spans="1:26" ht="12.75" customHeight="1" x14ac:dyDescent="0.2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spans="1:26" ht="12.7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spans="1:26" ht="12.75" customHeight="1" x14ac:dyDescent="0.2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spans="1:26" ht="12.75" customHeight="1" x14ac:dyDescent="0.2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spans="1:26" ht="12.75" customHeight="1" x14ac:dyDescent="0.2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spans="1:26" ht="12.75" customHeight="1" x14ac:dyDescent="0.2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spans="1:26" ht="12.75" customHeight="1" x14ac:dyDescent="0.2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:26" ht="12.75" customHeight="1" x14ac:dyDescent="0.2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spans="1:26" ht="12.75" customHeight="1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spans="1:26" ht="12.75" customHeight="1" x14ac:dyDescent="0.2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spans="1:26" ht="12.75" customHeight="1" x14ac:dyDescent="0.2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spans="1:26" ht="12.75" customHeight="1" x14ac:dyDescent="0.2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spans="1:26" ht="12.75" customHeight="1" x14ac:dyDescent="0.2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spans="1:26" ht="12.75" customHeight="1" x14ac:dyDescent="0.2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spans="1:26" ht="12.75" customHeight="1" x14ac:dyDescent="0.2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spans="1:26" ht="12.75" customHeight="1" x14ac:dyDescent="0.2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spans="1:26" ht="12.75" customHeight="1" x14ac:dyDescent="0.2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spans="1:26" ht="12.75" customHeight="1" x14ac:dyDescent="0.2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spans="1:26" ht="12.7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spans="1:26" ht="12.7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spans="1:26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spans="1:26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spans="1:26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spans="1:26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spans="1:26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spans="1:26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spans="1:26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spans="1:26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:26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spans="1:26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spans="1:26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spans="1:26" ht="12.75" customHeight="1" x14ac:dyDescent="0.2">
      <c r="A89" s="134" t="s">
        <v>190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spans="1:26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spans="1:26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spans="1:26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spans="1:26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spans="1:26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spans="1:26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spans="1:26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spans="1:26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spans="1:26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spans="1:26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spans="1:26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spans="1:26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spans="1:26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spans="1:26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spans="1:26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spans="1:26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spans="1:26" ht="12.7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spans="1:26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spans="1:26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spans="1:26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spans="1:26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spans="1:26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spans="1:26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spans="1:26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:26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spans="1:26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spans="1:26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spans="1:26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spans="1:26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spans="1:26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spans="1:26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spans="1:26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spans="1:26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spans="1:26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spans="1:26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spans="1:26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spans="1:26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spans="1:26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spans="1:26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spans="1:26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spans="1:26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spans="1:26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spans="1:26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spans="1:26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spans="1:26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spans="1:26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spans="1:26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spans="1:26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spans="1:26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spans="1:26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spans="1:26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spans="1:26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spans="1:26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spans="1:26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spans="1:26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spans="1:26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spans="1:26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spans="1:26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spans="1:26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spans="1:26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spans="1:26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spans="1:26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spans="1:26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spans="1:26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spans="1:26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spans="1:26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spans="1:26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spans="1:26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spans="1:26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spans="1:26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spans="1:26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spans="1:26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spans="1:26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spans="1:26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spans="1:26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spans="1:26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spans="1:26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spans="1:26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spans="1:26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spans="1:26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spans="1:26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spans="1:26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spans="1:26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spans="1:26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spans="1:26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spans="1:26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spans="1:26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spans="1:26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spans="1:26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spans="1:26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spans="1:26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spans="1:26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spans="1:26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spans="1:26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spans="1:26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spans="1:26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spans="1:26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spans="1:26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spans="1:26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spans="1:26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spans="1:26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spans="1:26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spans="1:26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spans="1:26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spans="1:26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spans="1:26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spans="1:26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spans="1:26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spans="1:26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spans="1:26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spans="1:26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spans="1:26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spans="1:26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spans="1:26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spans="1:26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spans="1:26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spans="1:26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spans="1:26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spans="1:26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spans="1:26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spans="1:26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spans="1:26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spans="1:26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spans="1:26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spans="1:26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spans="1:26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spans="1:26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spans="1:26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spans="1:26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spans="1:26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spans="1:26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spans="1:26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spans="1:26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spans="1:26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spans="1:26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spans="1:26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spans="1:26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spans="1:26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spans="1:26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spans="1:26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spans="1:26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spans="1:26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spans="1:26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spans="1:26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spans="1:26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spans="1:26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spans="1:26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spans="1:26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spans="1:26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spans="1:26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spans="1:26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spans="1:26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spans="1:26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spans="1:26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spans="1:26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spans="1:26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spans="1:26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spans="1:26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spans="1:26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spans="1:26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spans="1:26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spans="1:26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spans="1:26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spans="1:26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spans="1:26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spans="1:26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spans="1:26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spans="1:26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spans="1:26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spans="1:26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spans="1:26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spans="1:26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spans="1:26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spans="1:26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spans="1:26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spans="1:26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spans="1:26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spans="1:26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spans="1:26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spans="1:26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spans="1:26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spans="1:26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spans="1:26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spans="1:26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spans="1:26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spans="1:26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spans="1:26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spans="1:26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spans="1:26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spans="1:26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spans="1:26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spans="1:26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spans="1:26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spans="1:26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spans="1:26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spans="1:26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spans="1:26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spans="1:26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spans="1:26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spans="1:26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spans="1:26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spans="1:26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spans="1:26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spans="1:26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spans="1:26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spans="1:26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spans="1:26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spans="1:26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spans="1:26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spans="1:26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spans="1:26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spans="1:26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spans="1:26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spans="1:26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spans="1:26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spans="1:26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spans="1:26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spans="1:26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spans="1:26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spans="1:26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spans="1:26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spans="1:26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spans="1:26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spans="1:26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spans="1:26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spans="1:26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spans="1:26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spans="1:26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spans="1:26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spans="1:26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spans="1:26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spans="1:26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spans="1:26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spans="1:26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spans="1:26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spans="1:26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spans="1:26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spans="1:26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spans="1:26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spans="1:26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spans="1:26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spans="1:26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spans="1:26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spans="1:26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spans="1:26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spans="1:26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spans="1:26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spans="1:26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spans="1:26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spans="1:26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spans="1:26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spans="1:26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spans="1:26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spans="1:26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spans="1:26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spans="1:26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spans="1:26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spans="1:26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spans="1:26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spans="1:26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spans="1:26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spans="1:26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spans="1:26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spans="1:26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spans="1:26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spans="1:26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spans="1:26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spans="1:26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spans="1:26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spans="1:26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spans="1:26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spans="1:26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spans="1:26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spans="1:26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spans="1:26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spans="1:26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spans="1:26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spans="1:26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spans="1:26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spans="1:26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spans="1:26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spans="1:26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spans="1:26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spans="1:26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spans="1:26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spans="1:26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spans="1:26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spans="1:26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spans="1:26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spans="1:26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spans="1:26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spans="1:26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spans="1:26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spans="1:26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spans="1:26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spans="1:26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spans="1:26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spans="1:26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spans="1:26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spans="1:26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spans="1:26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spans="1:26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spans="1:26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spans="1:26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spans="1:26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spans="1:26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spans="1:26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spans="1:26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spans="1:26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spans="1:26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spans="1:26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spans="1:26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spans="1:26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spans="1:26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spans="1:26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spans="1:26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spans="1:26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spans="1:26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spans="1:26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spans="1:26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spans="1:26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spans="1:26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spans="1:26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spans="1:26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spans="1:26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spans="1:26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spans="1:26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spans="1:26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spans="1:26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spans="1:26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spans="1:26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spans="1:26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spans="1:26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spans="1:26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spans="1:26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spans="1:26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spans="1:26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spans="1:26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spans="1:26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spans="1:26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spans="1:26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spans="1:26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spans="1:26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spans="1:26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spans="1:26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spans="1:26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spans="1:26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spans="1:26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spans="1:26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spans="1:26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spans="1:26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spans="1:26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spans="1:26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spans="1:26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spans="1:26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spans="1:26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spans="1:26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spans="1:26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spans="1:26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spans="1:26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spans="1:26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spans="1:26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spans="1:26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spans="1:26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spans="1:26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spans="1:26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spans="1:26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spans="1:26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spans="1:26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spans="1:26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spans="1:26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spans="1:26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spans="1:26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spans="1:26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spans="1:26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spans="1:26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spans="1:26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spans="1:26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spans="1:26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spans="1:26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spans="1:26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spans="1:26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spans="1:26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spans="1:26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spans="1:26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spans="1:26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spans="1:26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spans="1:26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spans="1:26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spans="1:26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spans="1:26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spans="1:26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spans="1:26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spans="1:26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spans="1:26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spans="1:26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spans="1:26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spans="1:26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spans="1:26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spans="1:26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spans="1:26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spans="1:26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spans="1:26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spans="1:26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spans="1:26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spans="1:26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spans="1:26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spans="1:26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spans="1:26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spans="1:26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spans="1:26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spans="1:26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spans="1:26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spans="1:26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spans="1:26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spans="1:26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spans="1:26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spans="1:26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spans="1:26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spans="1:26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spans="1:26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spans="1:26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spans="1:26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spans="1:26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spans="1:26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spans="1:26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spans="1:26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spans="1:26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spans="1:26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spans="1:26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spans="1:26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spans="1:26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spans="1:26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spans="1:26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spans="1:26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spans="1:26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spans="1:26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spans="1:26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spans="1:26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spans="1:26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spans="1:26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spans="1:26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spans="1:26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spans="1:26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spans="1:26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spans="1:26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spans="1:26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spans="1:26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spans="1:26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spans="1:26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spans="1:26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spans="1:26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spans="1:26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spans="1:26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spans="1:26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spans="1:26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spans="1:26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spans="1:26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spans="1:26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spans="1:26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spans="1:26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spans="1:26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spans="1:26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spans="1:26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spans="1:26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spans="1:26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spans="1:26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spans="1:26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spans="1:26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spans="1:26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spans="1:26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spans="1:26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spans="1:26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spans="1:26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spans="1:26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spans="1:26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spans="1:26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spans="1:26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spans="1:26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spans="1:26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spans="1:26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spans="1:26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spans="1:26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spans="1:26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spans="1:26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spans="1:26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spans="1:26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spans="1:26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spans="1:26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spans="1:26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spans="1:26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spans="1:26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spans="1:26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spans="1:26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spans="1:26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spans="1:26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spans="1:26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spans="1:26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spans="1:26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spans="1:26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spans="1:26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spans="1:26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spans="1:26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spans="1:26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spans="1:26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spans="1:26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spans="1:26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spans="1:26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spans="1:26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spans="1:26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spans="1:26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spans="1:26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spans="1:26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spans="1:26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spans="1:26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spans="1:26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spans="1:26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spans="1:26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spans="1:26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spans="1:26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spans="1:26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spans="1:26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spans="1:26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spans="1:26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spans="1:26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spans="1:26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spans="1:26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spans="1:26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spans="1:26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spans="1:26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spans="1:26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spans="1:26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spans="1:26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spans="1:26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spans="1:26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spans="1:26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spans="1:26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spans="1:26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spans="1:26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spans="1:26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spans="1:26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spans="1:26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spans="1:26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spans="1:26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spans="1:26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spans="1:26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spans="1:26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spans="1:26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spans="1:26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spans="1:26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spans="1:26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spans="1:26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spans="1:26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spans="1:26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spans="1:26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spans="1:26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spans="1:26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spans="1:26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spans="1:26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spans="1:26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spans="1:26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spans="1:26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spans="1:26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spans="1:26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spans="1:26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spans="1:26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spans="1:26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spans="1:26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spans="1:26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spans="1:26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spans="1:26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spans="1:26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spans="1:26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spans="1:26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spans="1:26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spans="1:26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spans="1:26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spans="1:26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spans="1:26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spans="1:26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spans="1:26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spans="1:26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spans="1:26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spans="1:26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spans="1:26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spans="1:26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spans="1:26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spans="1:26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spans="1:26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spans="1:26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spans="1:26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spans="1:26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spans="1:26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spans="1:26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spans="1:26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spans="1:26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spans="1:26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spans="1:26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spans="1:26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spans="1:26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spans="1:26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spans="1:26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spans="1:26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spans="1:26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spans="1:26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spans="1:26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spans="1:26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spans="1:26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spans="1:26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spans="1:26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spans="1:26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spans="1:26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spans="1:26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spans="1:26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spans="1:26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spans="1:26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spans="1:26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spans="1:26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spans="1:26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spans="1:26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spans="1:26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spans="1:26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spans="1:26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spans="1:26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spans="1:26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spans="1:26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spans="1:26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spans="1:26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spans="1:26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spans="1:26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spans="1:26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spans="1:26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spans="1:26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spans="1:26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spans="1:26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spans="1:26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spans="1:26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spans="1:26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spans="1:26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spans="1:26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spans="1:26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spans="1:26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spans="1:26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spans="1:26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spans="1:26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spans="1:26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spans="1:26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spans="1:26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spans="1:26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spans="1:26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spans="1:26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spans="1:26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spans="1:26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spans="1:26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spans="1:26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spans="1:26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spans="1:26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spans="1:26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spans="1:26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spans="1:26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spans="1:26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spans="1:26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spans="1:26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spans="1:26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spans="1:26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spans="1:26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spans="1:26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spans="1:26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spans="1:26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spans="1:26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spans="1:26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spans="1:26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spans="1:26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spans="1:26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spans="1:26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spans="1:26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spans="1:26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spans="1:26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spans="1:26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spans="1:26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spans="1:26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spans="1:26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spans="1:26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spans="1:26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spans="1:26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spans="1:26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spans="1:26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spans="1:26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spans="1:26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spans="1:26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spans="1:26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spans="1:26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spans="1:26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spans="1:26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spans="1:26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spans="1:26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spans="1:26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spans="1:26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spans="1:26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spans="1:26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spans="1:26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spans="1:26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spans="1:26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spans="1:26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spans="1:26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spans="1:26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spans="1:26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spans="1:26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spans="1:26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spans="1:26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spans="1:26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spans="1:26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spans="1:26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spans="1:26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spans="1:26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spans="1:26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spans="1:26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spans="1:26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spans="1:26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spans="1:26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spans="1:26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spans="1:26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spans="1:26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spans="1:26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spans="1:26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spans="1:26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spans="1:26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spans="1:26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spans="1:26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spans="1:26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spans="1:26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spans="1:26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spans="1:26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spans="1:26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spans="1:26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spans="1:26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spans="1:26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spans="1:26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spans="1:26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spans="1:26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spans="1:26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spans="1:26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spans="1:26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spans="1:26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spans="1:26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spans="1:26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spans="1:26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spans="1:26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spans="1:26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spans="1:26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spans="1:26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spans="1:26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spans="1:26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spans="1:26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spans="1:26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spans="1:26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spans="1:26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spans="1:26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spans="1:26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spans="1:26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spans="1:26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spans="1:26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spans="1:26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spans="1:26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spans="1:26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spans="1:26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spans="1:26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spans="1:26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spans="1:26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spans="1:26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spans="1:26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spans="1:26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spans="1:26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spans="1:26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spans="1:26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spans="1:26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spans="1:26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spans="1:26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spans="1:26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spans="1:26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spans="1:26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spans="1:26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spans="1:26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spans="1:26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spans="1:26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spans="1:26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spans="1:26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spans="1:26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spans="1:26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spans="1:26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spans="1:26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spans="1:26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spans="1:26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spans="1:26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spans="1:26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spans="1:26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spans="1:26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spans="1:26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spans="1:26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spans="1:26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spans="1:26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spans="1:26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spans="1:26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spans="1:26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spans="1:26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spans="1:26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spans="1:26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spans="1:26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spans="1:26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spans="1:26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spans="1:26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spans="1:26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spans="1:26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spans="1:26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spans="1:26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spans="1:26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spans="1:26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spans="1:26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spans="1:26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spans="1:26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spans="1:26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spans="1:26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spans="1:26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spans="1:26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spans="1:26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spans="1:26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spans="1:26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spans="1:26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spans="1:26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spans="1:26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spans="1:26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spans="1:26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spans="1:26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spans="1:26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spans="1:26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spans="1:26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spans="1:26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spans="1:26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spans="1:26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spans="1:26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spans="1:26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spans="1:26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spans="1:26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spans="1:26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spans="1:26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spans="1:26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spans="1:26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spans="1:26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spans="1:26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spans="1:26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spans="1:26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spans="1:26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spans="1:26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spans="1:26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spans="1:26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spans="1:26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spans="1:26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spans="1:26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spans="1:26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spans="1:26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spans="1:26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spans="1:26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spans="1:26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spans="1:26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spans="1:26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spans="1:26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spans="1:26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spans="1:26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spans="1:26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spans="1:26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spans="1:26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spans="1:26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spans="1:26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spans="1:26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spans="1:26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spans="1:26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spans="1:26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spans="1:26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spans="1:26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spans="1:26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spans="1:26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spans="1:26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spans="1:26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spans="1:26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spans="1:26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spans="1:26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spans="1:26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spans="1:26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spans="1:26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spans="1:26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spans="1:26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spans="1:26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spans="1:26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spans="1:26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spans="1:26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spans="1:26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spans="1:26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spans="1:26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spans="1:26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spans="1:26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spans="1:26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spans="1:26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spans="1:26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spans="1:26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spans="1:26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mergeCells count="2">
    <mergeCell ref="A1:C1"/>
    <mergeCell ref="B7:C7"/>
  </mergeCells>
  <pageMargins left="0.90551181102362199" right="0.45005715011430031" top="0.74803149606299213" bottom="0.74803149606299213" header="0" footer="0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5" sqref="C15"/>
    </sheetView>
  </sheetViews>
  <sheetFormatPr defaultColWidth="14.42578125" defaultRowHeight="15" customHeight="1" x14ac:dyDescent="0.2"/>
  <cols>
    <col min="1" max="1" width="41.85546875" customWidth="1"/>
    <col min="2" max="2" width="5.5703125" customWidth="1"/>
    <col min="3" max="3" width="8.7109375" customWidth="1"/>
    <col min="4" max="4" width="9.7109375" customWidth="1"/>
    <col min="5" max="5" width="8" customWidth="1"/>
    <col min="6" max="6" width="9.7109375" customWidth="1"/>
    <col min="7" max="26" width="8.7109375" customWidth="1"/>
  </cols>
  <sheetData>
    <row r="1" spans="1:26" ht="12.75" customHeight="1" x14ac:dyDescent="0.2">
      <c r="A1" s="18"/>
      <c r="B1" s="5"/>
      <c r="C1" s="5"/>
      <c r="D1" s="189"/>
      <c r="E1" s="190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ht="12.75" customHeight="1" x14ac:dyDescent="0.2">
      <c r="A2" s="2"/>
      <c r="B2" s="5"/>
      <c r="C2" s="5"/>
      <c r="D2" s="189"/>
      <c r="E2" s="190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ht="12.75" customHeight="1" x14ac:dyDescent="0.2">
      <c r="A3" s="1"/>
      <c r="B3" s="5"/>
      <c r="C3" s="5"/>
      <c r="D3" s="189"/>
      <c r="E3" s="190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12.75" customHeight="1" x14ac:dyDescent="0.2">
      <c r="A4" s="1"/>
      <c r="B4" s="5"/>
      <c r="C4" s="5"/>
      <c r="D4" s="189"/>
      <c r="E4" s="190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15" customHeight="1" x14ac:dyDescent="0.2">
      <c r="A5" s="135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35"/>
      <c r="B6" s="2"/>
      <c r="C6" s="2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89"/>
      <c r="B7" s="5"/>
      <c r="C7" s="5"/>
      <c r="D7" s="189"/>
      <c r="E7" s="190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6" ht="12.75" customHeight="1" x14ac:dyDescent="0.2">
      <c r="A8" s="277" t="s">
        <v>220</v>
      </c>
      <c r="B8" s="262"/>
      <c r="C8" s="262"/>
      <c r="D8" s="262"/>
      <c r="E8" s="262"/>
      <c r="F8" s="263"/>
    </row>
    <row r="9" spans="1:26" ht="12.75" customHeight="1" x14ac:dyDescent="0.2">
      <c r="A9" s="191"/>
      <c r="B9" s="192"/>
      <c r="C9" s="192"/>
      <c r="D9" s="192"/>
      <c r="E9" s="192"/>
      <c r="F9" s="193"/>
    </row>
    <row r="10" spans="1:26" ht="12.75" customHeight="1" x14ac:dyDescent="0.25">
      <c r="A10" s="194"/>
      <c r="B10" s="5"/>
      <c r="C10" s="5"/>
      <c r="D10" s="278" t="s">
        <v>221</v>
      </c>
      <c r="E10" s="272"/>
      <c r="F10" s="273"/>
      <c r="G10" s="189"/>
      <c r="H10" s="189"/>
    </row>
    <row r="11" spans="1:26" ht="12.75" customHeight="1" x14ac:dyDescent="0.2">
      <c r="A11" s="179"/>
      <c r="B11" s="189"/>
      <c r="C11" s="189"/>
      <c r="D11" s="195" t="s">
        <v>222</v>
      </c>
      <c r="E11" s="196" t="s">
        <v>223</v>
      </c>
      <c r="F11" s="197" t="s">
        <v>224</v>
      </c>
      <c r="G11" s="189"/>
      <c r="H11" s="189"/>
    </row>
    <row r="12" spans="1:26" ht="12.75" customHeight="1" x14ac:dyDescent="0.2">
      <c r="A12" s="198" t="s">
        <v>225</v>
      </c>
      <c r="B12" s="199" t="s">
        <v>226</v>
      </c>
      <c r="C12" s="200">
        <v>5.0799999999999998E-2</v>
      </c>
      <c r="D12" s="201">
        <v>2.9700000000000001E-2</v>
      </c>
      <c r="E12" s="202">
        <v>5.0799999999999998E-2</v>
      </c>
      <c r="F12" s="203">
        <v>6.2700000000000006E-2</v>
      </c>
      <c r="G12" s="189"/>
      <c r="H12" s="189"/>
    </row>
    <row r="13" spans="1:26" ht="12.75" customHeight="1" x14ac:dyDescent="0.2">
      <c r="A13" s="204" t="s">
        <v>227</v>
      </c>
      <c r="B13" s="205" t="s">
        <v>228</v>
      </c>
      <c r="C13" s="206">
        <v>1.3299999999999999E-2</v>
      </c>
      <c r="D13" s="201">
        <f>0.3%+0.56%</f>
        <v>8.6E-3</v>
      </c>
      <c r="E13" s="202">
        <f>0.48%+0.85%</f>
        <v>1.3299999999999999E-2</v>
      </c>
      <c r="F13" s="203">
        <f>0.82%+0.89%</f>
        <v>1.7099999999999997E-2</v>
      </c>
      <c r="G13" s="189"/>
      <c r="H13" s="189"/>
    </row>
    <row r="14" spans="1:26" ht="12.75" customHeight="1" x14ac:dyDescent="0.2">
      <c r="A14" s="204" t="s">
        <v>229</v>
      </c>
      <c r="B14" s="205" t="s">
        <v>230</v>
      </c>
      <c r="C14" s="207">
        <v>0.2</v>
      </c>
      <c r="D14" s="201">
        <v>7.7799999999999994E-2</v>
      </c>
      <c r="E14" s="202">
        <v>0.1085</v>
      </c>
      <c r="F14" s="203">
        <v>0.13550000000000001</v>
      </c>
      <c r="G14" s="189"/>
      <c r="H14" s="189"/>
    </row>
    <row r="15" spans="1:26" ht="12.75" customHeight="1" x14ac:dyDescent="0.2">
      <c r="A15" s="204" t="s">
        <v>231</v>
      </c>
      <c r="B15" s="205" t="s">
        <v>232</v>
      </c>
      <c r="C15" s="208">
        <f>(1+E15)^(E16/252)-1</f>
        <v>5.3042105159797348E-3</v>
      </c>
      <c r="D15" s="201" t="s">
        <v>233</v>
      </c>
      <c r="E15" s="209">
        <v>0.11749999999999999</v>
      </c>
      <c r="F15" s="210"/>
      <c r="G15" s="189"/>
      <c r="H15" s="189"/>
    </row>
    <row r="16" spans="1:26" ht="12.75" customHeight="1" x14ac:dyDescent="0.2">
      <c r="A16" s="204" t="s">
        <v>234</v>
      </c>
      <c r="B16" s="279" t="s">
        <v>235</v>
      </c>
      <c r="C16" s="206">
        <v>0.03</v>
      </c>
      <c r="D16" s="211" t="s">
        <v>236</v>
      </c>
      <c r="E16" s="212">
        <v>12</v>
      </c>
      <c r="F16" s="177"/>
      <c r="G16" s="189"/>
      <c r="H16" s="189"/>
    </row>
    <row r="17" spans="1:8" ht="12.75" customHeight="1" x14ac:dyDescent="0.2">
      <c r="A17" s="213" t="s">
        <v>237</v>
      </c>
      <c r="B17" s="280"/>
      <c r="C17" s="214">
        <v>3.6499999999999998E-2</v>
      </c>
      <c r="D17" s="170"/>
      <c r="E17" s="215"/>
      <c r="F17" s="177"/>
      <c r="G17" s="189"/>
      <c r="H17" s="189"/>
    </row>
    <row r="18" spans="1:8" ht="12.75" customHeight="1" x14ac:dyDescent="0.2">
      <c r="A18" s="216" t="s">
        <v>238</v>
      </c>
      <c r="B18" s="217"/>
      <c r="C18" s="218"/>
      <c r="D18" s="170"/>
      <c r="E18" s="215"/>
      <c r="F18" s="177"/>
      <c r="G18" s="189"/>
      <c r="H18" s="189"/>
    </row>
    <row r="19" spans="1:8" ht="12.75" customHeight="1" x14ac:dyDescent="0.2">
      <c r="A19" s="219" t="s">
        <v>239</v>
      </c>
      <c r="B19" s="220"/>
      <c r="C19" s="221"/>
      <c r="D19" s="170"/>
      <c r="E19" s="215"/>
      <c r="F19" s="177"/>
      <c r="G19" s="189"/>
      <c r="H19" s="189"/>
    </row>
    <row r="20" spans="1:8" ht="12.75" customHeight="1" x14ac:dyDescent="0.2">
      <c r="A20" s="222" t="s">
        <v>240</v>
      </c>
      <c r="B20" s="223"/>
      <c r="C20" s="224">
        <f>ROUND((((1+C12+C13)*(1+C14)*(1+C15))/(1-(C16+C17))-1),4)</f>
        <v>0.37509999999999999</v>
      </c>
      <c r="D20" s="225">
        <v>0.21429999999999999</v>
      </c>
      <c r="E20" s="226">
        <v>0.2717</v>
      </c>
      <c r="F20" s="227">
        <v>0.3362</v>
      </c>
      <c r="G20" s="189"/>
      <c r="H20" s="189"/>
    </row>
    <row r="21" spans="1:8" ht="12.75" customHeight="1" x14ac:dyDescent="0.2">
      <c r="A21" s="189"/>
      <c r="B21" s="189"/>
      <c r="C21" s="189"/>
      <c r="D21" s="189"/>
      <c r="E21" s="190"/>
      <c r="F21" s="189"/>
      <c r="G21" s="189"/>
      <c r="H21" s="189"/>
    </row>
    <row r="22" spans="1:8" ht="12.75" customHeight="1" x14ac:dyDescent="0.2">
      <c r="A22" s="189"/>
      <c r="B22" s="189"/>
      <c r="C22" s="189"/>
      <c r="D22" s="189"/>
      <c r="E22" s="190"/>
      <c r="F22" s="189"/>
      <c r="G22" s="189"/>
      <c r="H22" s="189"/>
    </row>
    <row r="23" spans="1:8" ht="12.75" customHeight="1" x14ac:dyDescent="0.2">
      <c r="A23" s="189"/>
      <c r="B23" s="189"/>
      <c r="C23" s="189"/>
      <c r="D23" s="189"/>
      <c r="E23" s="228"/>
      <c r="F23" s="189"/>
      <c r="G23" s="189"/>
      <c r="H23" s="189"/>
    </row>
    <row r="24" spans="1:8" ht="12.75" customHeight="1" x14ac:dyDescent="0.2">
      <c r="A24" s="189"/>
      <c r="B24" s="189"/>
      <c r="C24" s="189"/>
      <c r="D24" s="189"/>
      <c r="E24" s="190"/>
      <c r="F24" s="189"/>
      <c r="G24" s="189"/>
      <c r="H24" s="189"/>
    </row>
    <row r="25" spans="1:8" ht="12.75" customHeight="1" x14ac:dyDescent="0.2">
      <c r="E25" s="229"/>
    </row>
    <row r="26" spans="1:8" ht="12.75" customHeight="1" x14ac:dyDescent="0.2">
      <c r="E26" s="229"/>
    </row>
    <row r="27" spans="1:8" ht="12.75" customHeight="1" x14ac:dyDescent="0.2">
      <c r="E27" s="229"/>
    </row>
    <row r="28" spans="1:8" ht="12.75" customHeight="1" x14ac:dyDescent="0.2">
      <c r="E28" s="229"/>
    </row>
    <row r="29" spans="1:8" ht="12.75" customHeight="1" x14ac:dyDescent="0.2">
      <c r="E29" s="229"/>
    </row>
    <row r="30" spans="1:8" ht="12.75" customHeight="1" x14ac:dyDescent="0.2">
      <c r="E30" s="229"/>
    </row>
    <row r="31" spans="1:8" ht="12.75" customHeight="1" x14ac:dyDescent="0.2">
      <c r="E31" s="229"/>
    </row>
    <row r="32" spans="1:8" ht="12.75" customHeight="1" x14ac:dyDescent="0.2">
      <c r="E32" s="229"/>
    </row>
    <row r="33" spans="5:5" ht="12.75" customHeight="1" x14ac:dyDescent="0.2">
      <c r="E33" s="229"/>
    </row>
    <row r="34" spans="5:5" ht="12.75" customHeight="1" x14ac:dyDescent="0.2">
      <c r="E34" s="229"/>
    </row>
    <row r="35" spans="5:5" ht="12.75" customHeight="1" x14ac:dyDescent="0.2">
      <c r="E35" s="229"/>
    </row>
    <row r="36" spans="5:5" ht="12.75" customHeight="1" x14ac:dyDescent="0.2">
      <c r="E36" s="229"/>
    </row>
    <row r="37" spans="5:5" ht="12.75" customHeight="1" x14ac:dyDescent="0.2">
      <c r="E37" s="229"/>
    </row>
    <row r="38" spans="5:5" ht="12.75" customHeight="1" x14ac:dyDescent="0.2">
      <c r="E38" s="229"/>
    </row>
    <row r="39" spans="5:5" ht="12.75" customHeight="1" x14ac:dyDescent="0.2">
      <c r="E39" s="229"/>
    </row>
    <row r="40" spans="5:5" ht="12.75" customHeight="1" x14ac:dyDescent="0.2">
      <c r="E40" s="229"/>
    </row>
    <row r="41" spans="5:5" ht="12.75" customHeight="1" x14ac:dyDescent="0.2">
      <c r="E41" s="229"/>
    </row>
    <row r="42" spans="5:5" ht="12.75" customHeight="1" x14ac:dyDescent="0.2">
      <c r="E42" s="229"/>
    </row>
    <row r="43" spans="5:5" ht="12.75" customHeight="1" x14ac:dyDescent="0.2">
      <c r="E43" s="229"/>
    </row>
    <row r="44" spans="5:5" ht="12.75" customHeight="1" x14ac:dyDescent="0.2">
      <c r="E44" s="229"/>
    </row>
    <row r="45" spans="5:5" ht="12.75" customHeight="1" x14ac:dyDescent="0.2">
      <c r="E45" s="229"/>
    </row>
    <row r="46" spans="5:5" ht="12.75" customHeight="1" x14ac:dyDescent="0.2">
      <c r="E46" s="229"/>
    </row>
    <row r="47" spans="5:5" ht="12.75" customHeight="1" x14ac:dyDescent="0.2">
      <c r="E47" s="229"/>
    </row>
    <row r="48" spans="5:5" ht="12.75" customHeight="1" x14ac:dyDescent="0.2">
      <c r="E48" s="229"/>
    </row>
    <row r="49" spans="5:5" ht="12.75" customHeight="1" x14ac:dyDescent="0.2">
      <c r="E49" s="229"/>
    </row>
    <row r="50" spans="5:5" ht="12.75" customHeight="1" x14ac:dyDescent="0.2">
      <c r="E50" s="229"/>
    </row>
    <row r="51" spans="5:5" ht="12.75" customHeight="1" x14ac:dyDescent="0.2">
      <c r="E51" s="229"/>
    </row>
    <row r="52" spans="5:5" ht="12.75" customHeight="1" x14ac:dyDescent="0.2">
      <c r="E52" s="229"/>
    </row>
    <row r="53" spans="5:5" ht="12.75" customHeight="1" x14ac:dyDescent="0.2">
      <c r="E53" s="229"/>
    </row>
    <row r="54" spans="5:5" ht="12.75" customHeight="1" x14ac:dyDescent="0.2">
      <c r="E54" s="229"/>
    </row>
    <row r="55" spans="5:5" ht="12.75" customHeight="1" x14ac:dyDescent="0.2">
      <c r="E55" s="229"/>
    </row>
    <row r="56" spans="5:5" ht="12.75" customHeight="1" x14ac:dyDescent="0.2">
      <c r="E56" s="229"/>
    </row>
    <row r="57" spans="5:5" ht="12.75" customHeight="1" x14ac:dyDescent="0.2">
      <c r="E57" s="229"/>
    </row>
    <row r="58" spans="5:5" ht="12.75" customHeight="1" x14ac:dyDescent="0.2">
      <c r="E58" s="229"/>
    </row>
    <row r="59" spans="5:5" ht="12.75" customHeight="1" x14ac:dyDescent="0.2">
      <c r="E59" s="229"/>
    </row>
    <row r="60" spans="5:5" ht="12.75" customHeight="1" x14ac:dyDescent="0.2">
      <c r="E60" s="229"/>
    </row>
    <row r="61" spans="5:5" ht="12.75" customHeight="1" x14ac:dyDescent="0.2">
      <c r="E61" s="229"/>
    </row>
    <row r="62" spans="5:5" ht="12.75" customHeight="1" x14ac:dyDescent="0.2">
      <c r="E62" s="229"/>
    </row>
    <row r="63" spans="5:5" ht="12.75" customHeight="1" x14ac:dyDescent="0.2">
      <c r="E63" s="229"/>
    </row>
    <row r="64" spans="5:5" ht="12.75" customHeight="1" x14ac:dyDescent="0.2">
      <c r="E64" s="229"/>
    </row>
    <row r="65" spans="5:5" ht="12.75" customHeight="1" x14ac:dyDescent="0.2">
      <c r="E65" s="229"/>
    </row>
    <row r="66" spans="5:5" ht="12.75" customHeight="1" x14ac:dyDescent="0.2">
      <c r="E66" s="229"/>
    </row>
    <row r="67" spans="5:5" ht="12.75" customHeight="1" x14ac:dyDescent="0.2">
      <c r="E67" s="229"/>
    </row>
    <row r="68" spans="5:5" ht="12.75" customHeight="1" x14ac:dyDescent="0.2">
      <c r="E68" s="229"/>
    </row>
    <row r="69" spans="5:5" ht="12.75" customHeight="1" x14ac:dyDescent="0.2">
      <c r="E69" s="229"/>
    </row>
    <row r="70" spans="5:5" ht="12.75" customHeight="1" x14ac:dyDescent="0.2">
      <c r="E70" s="229"/>
    </row>
    <row r="71" spans="5:5" ht="12.75" customHeight="1" x14ac:dyDescent="0.2">
      <c r="E71" s="229"/>
    </row>
    <row r="72" spans="5:5" ht="12.75" customHeight="1" x14ac:dyDescent="0.2">
      <c r="E72" s="229"/>
    </row>
    <row r="73" spans="5:5" ht="12.75" customHeight="1" x14ac:dyDescent="0.2">
      <c r="E73" s="229"/>
    </row>
    <row r="74" spans="5:5" ht="12.75" customHeight="1" x14ac:dyDescent="0.2">
      <c r="E74" s="229"/>
    </row>
    <row r="75" spans="5:5" ht="12.75" customHeight="1" x14ac:dyDescent="0.2">
      <c r="E75" s="229"/>
    </row>
    <row r="76" spans="5:5" ht="12.75" customHeight="1" x14ac:dyDescent="0.2">
      <c r="E76" s="229"/>
    </row>
    <row r="77" spans="5:5" ht="12.75" customHeight="1" x14ac:dyDescent="0.2">
      <c r="E77" s="229"/>
    </row>
    <row r="78" spans="5:5" ht="12.75" customHeight="1" x14ac:dyDescent="0.2">
      <c r="E78" s="229"/>
    </row>
    <row r="79" spans="5:5" ht="12.75" customHeight="1" x14ac:dyDescent="0.2">
      <c r="E79" s="229"/>
    </row>
    <row r="80" spans="5:5" ht="12.75" customHeight="1" x14ac:dyDescent="0.2">
      <c r="E80" s="229"/>
    </row>
    <row r="81" spans="1:5" ht="12.75" customHeight="1" x14ac:dyDescent="0.2">
      <c r="E81" s="229"/>
    </row>
    <row r="82" spans="1:5" ht="12.75" customHeight="1" x14ac:dyDescent="0.2">
      <c r="E82" s="229"/>
    </row>
    <row r="83" spans="1:5" ht="12.75" customHeight="1" x14ac:dyDescent="0.2">
      <c r="E83" s="229"/>
    </row>
    <row r="84" spans="1:5" ht="12.75" customHeight="1" x14ac:dyDescent="0.2">
      <c r="E84" s="229"/>
    </row>
    <row r="85" spans="1:5" ht="12.75" customHeight="1" x14ac:dyDescent="0.2">
      <c r="E85" s="229"/>
    </row>
    <row r="86" spans="1:5" ht="12.75" customHeight="1" x14ac:dyDescent="0.2">
      <c r="E86" s="229"/>
    </row>
    <row r="87" spans="1:5" ht="12.75" customHeight="1" x14ac:dyDescent="0.2">
      <c r="E87" s="229"/>
    </row>
    <row r="88" spans="1:5" ht="12.75" customHeight="1" x14ac:dyDescent="0.2">
      <c r="E88" s="229"/>
    </row>
    <row r="89" spans="1:5" ht="12.75" customHeight="1" x14ac:dyDescent="0.2">
      <c r="A89" s="230" t="s">
        <v>190</v>
      </c>
      <c r="E89" s="229"/>
    </row>
    <row r="90" spans="1:5" ht="12.75" customHeight="1" x14ac:dyDescent="0.2">
      <c r="E90" s="229"/>
    </row>
    <row r="91" spans="1:5" ht="12.75" customHeight="1" x14ac:dyDescent="0.2">
      <c r="E91" s="229"/>
    </row>
    <row r="92" spans="1:5" ht="12.75" customHeight="1" x14ac:dyDescent="0.2">
      <c r="E92" s="229"/>
    </row>
    <row r="93" spans="1:5" ht="12.75" customHeight="1" x14ac:dyDescent="0.2">
      <c r="E93" s="229"/>
    </row>
    <row r="94" spans="1:5" ht="12.75" customHeight="1" x14ac:dyDescent="0.2">
      <c r="E94" s="229"/>
    </row>
    <row r="95" spans="1:5" ht="12.75" customHeight="1" x14ac:dyDescent="0.2">
      <c r="E95" s="229"/>
    </row>
    <row r="96" spans="1:5" ht="12.75" customHeight="1" x14ac:dyDescent="0.2">
      <c r="E96" s="229"/>
    </row>
    <row r="97" spans="4:5" ht="12.75" customHeight="1" x14ac:dyDescent="0.2">
      <c r="E97" s="229"/>
    </row>
    <row r="98" spans="4:5" ht="12.75" customHeight="1" x14ac:dyDescent="0.2">
      <c r="E98" s="229"/>
    </row>
    <row r="99" spans="4:5" ht="12.75" customHeight="1" x14ac:dyDescent="0.2">
      <c r="E99" s="229"/>
    </row>
    <row r="100" spans="4:5" ht="12.75" customHeight="1" x14ac:dyDescent="0.2">
      <c r="E100" s="229"/>
    </row>
    <row r="101" spans="4:5" ht="12.75" customHeight="1" x14ac:dyDescent="0.2">
      <c r="E101" s="229"/>
    </row>
    <row r="102" spans="4:5" ht="12.75" customHeight="1" x14ac:dyDescent="0.2">
      <c r="E102" s="229"/>
    </row>
    <row r="103" spans="4:5" ht="12.75" customHeight="1" x14ac:dyDescent="0.2">
      <c r="E103" s="229"/>
    </row>
    <row r="104" spans="4:5" ht="12.75" customHeight="1" x14ac:dyDescent="0.2">
      <c r="E104" s="229"/>
    </row>
    <row r="105" spans="4:5" ht="12.75" customHeight="1" x14ac:dyDescent="0.2">
      <c r="E105" s="229"/>
    </row>
    <row r="106" spans="4:5" ht="12.75" customHeight="1" x14ac:dyDescent="0.2">
      <c r="D106" s="230">
        <v>11.7</v>
      </c>
      <c r="E106" s="229"/>
    </row>
    <row r="107" spans="4:5" ht="12.75" customHeight="1" x14ac:dyDescent="0.2">
      <c r="E107" s="229"/>
    </row>
    <row r="108" spans="4:5" ht="12.75" customHeight="1" x14ac:dyDescent="0.2">
      <c r="E108" s="229"/>
    </row>
    <row r="109" spans="4:5" ht="12.75" customHeight="1" x14ac:dyDescent="0.2">
      <c r="E109" s="229"/>
    </row>
    <row r="110" spans="4:5" ht="12.75" customHeight="1" x14ac:dyDescent="0.2">
      <c r="E110" s="229"/>
    </row>
    <row r="111" spans="4:5" ht="12.75" customHeight="1" x14ac:dyDescent="0.2">
      <c r="E111" s="229"/>
    </row>
    <row r="112" spans="4:5" ht="12.75" customHeight="1" x14ac:dyDescent="0.2">
      <c r="E112" s="229"/>
    </row>
    <row r="113" spans="5:5" ht="12.75" customHeight="1" x14ac:dyDescent="0.2">
      <c r="E113" s="229"/>
    </row>
    <row r="114" spans="5:5" ht="12.75" customHeight="1" x14ac:dyDescent="0.2">
      <c r="E114" s="229"/>
    </row>
    <row r="115" spans="5:5" ht="12.75" customHeight="1" x14ac:dyDescent="0.2">
      <c r="E115" s="229"/>
    </row>
    <row r="116" spans="5:5" ht="12.75" customHeight="1" x14ac:dyDescent="0.2">
      <c r="E116" s="229"/>
    </row>
    <row r="117" spans="5:5" ht="12.75" customHeight="1" x14ac:dyDescent="0.2">
      <c r="E117" s="229"/>
    </row>
    <row r="118" spans="5:5" ht="12.75" customHeight="1" x14ac:dyDescent="0.2">
      <c r="E118" s="229"/>
    </row>
    <row r="119" spans="5:5" ht="12.75" customHeight="1" x14ac:dyDescent="0.2">
      <c r="E119" s="229"/>
    </row>
    <row r="120" spans="5:5" ht="12.75" customHeight="1" x14ac:dyDescent="0.2">
      <c r="E120" s="229"/>
    </row>
    <row r="121" spans="5:5" ht="12.75" customHeight="1" x14ac:dyDescent="0.2">
      <c r="E121" s="229"/>
    </row>
    <row r="122" spans="5:5" ht="12.75" customHeight="1" x14ac:dyDescent="0.2">
      <c r="E122" s="229"/>
    </row>
    <row r="123" spans="5:5" ht="12.75" customHeight="1" x14ac:dyDescent="0.2">
      <c r="E123" s="229"/>
    </row>
    <row r="124" spans="5:5" ht="12.75" customHeight="1" x14ac:dyDescent="0.2">
      <c r="E124" s="229"/>
    </row>
    <row r="125" spans="5:5" ht="12.75" customHeight="1" x14ac:dyDescent="0.2">
      <c r="E125" s="229"/>
    </row>
    <row r="126" spans="5:5" ht="12.75" customHeight="1" x14ac:dyDescent="0.2">
      <c r="E126" s="229"/>
    </row>
    <row r="127" spans="5:5" ht="12.75" customHeight="1" x14ac:dyDescent="0.2">
      <c r="E127" s="229"/>
    </row>
    <row r="128" spans="5:5" ht="12.75" customHeight="1" x14ac:dyDescent="0.2">
      <c r="E128" s="229"/>
    </row>
    <row r="129" spans="5:5" ht="12.75" customHeight="1" x14ac:dyDescent="0.2">
      <c r="E129" s="229"/>
    </row>
    <row r="130" spans="5:5" ht="12.75" customHeight="1" x14ac:dyDescent="0.2">
      <c r="E130" s="229"/>
    </row>
    <row r="131" spans="5:5" ht="12.75" customHeight="1" x14ac:dyDescent="0.2">
      <c r="E131" s="229"/>
    </row>
    <row r="132" spans="5:5" ht="12.75" customHeight="1" x14ac:dyDescent="0.2">
      <c r="E132" s="229"/>
    </row>
    <row r="133" spans="5:5" ht="12.75" customHeight="1" x14ac:dyDescent="0.2">
      <c r="E133" s="229"/>
    </row>
    <row r="134" spans="5:5" ht="12.75" customHeight="1" x14ac:dyDescent="0.2">
      <c r="E134" s="229"/>
    </row>
    <row r="135" spans="5:5" ht="12.75" customHeight="1" x14ac:dyDescent="0.2">
      <c r="E135" s="229"/>
    </row>
    <row r="136" spans="5:5" ht="12.75" customHeight="1" x14ac:dyDescent="0.2">
      <c r="E136" s="229"/>
    </row>
    <row r="137" spans="5:5" ht="12.75" customHeight="1" x14ac:dyDescent="0.2">
      <c r="E137" s="229"/>
    </row>
    <row r="138" spans="5:5" ht="12.75" customHeight="1" x14ac:dyDescent="0.2">
      <c r="E138" s="229"/>
    </row>
    <row r="139" spans="5:5" ht="12.75" customHeight="1" x14ac:dyDescent="0.2">
      <c r="E139" s="229"/>
    </row>
    <row r="140" spans="5:5" ht="12.75" customHeight="1" x14ac:dyDescent="0.2">
      <c r="E140" s="229"/>
    </row>
    <row r="141" spans="5:5" ht="12.75" customHeight="1" x14ac:dyDescent="0.2">
      <c r="E141" s="229"/>
    </row>
    <row r="142" spans="5:5" ht="12.75" customHeight="1" x14ac:dyDescent="0.2">
      <c r="E142" s="229"/>
    </row>
    <row r="143" spans="5:5" ht="12.75" customHeight="1" x14ac:dyDescent="0.2">
      <c r="E143" s="229"/>
    </row>
    <row r="144" spans="5:5" ht="12.75" customHeight="1" x14ac:dyDescent="0.2">
      <c r="E144" s="229"/>
    </row>
    <row r="145" spans="5:5" ht="12.75" customHeight="1" x14ac:dyDescent="0.2">
      <c r="E145" s="229"/>
    </row>
    <row r="146" spans="5:5" ht="12.75" customHeight="1" x14ac:dyDescent="0.2">
      <c r="E146" s="229"/>
    </row>
    <row r="147" spans="5:5" ht="12.75" customHeight="1" x14ac:dyDescent="0.2">
      <c r="E147" s="229"/>
    </row>
    <row r="148" spans="5:5" ht="12.75" customHeight="1" x14ac:dyDescent="0.2">
      <c r="E148" s="229"/>
    </row>
    <row r="149" spans="5:5" ht="12.75" customHeight="1" x14ac:dyDescent="0.2">
      <c r="E149" s="229"/>
    </row>
    <row r="150" spans="5:5" ht="12.75" customHeight="1" x14ac:dyDescent="0.2">
      <c r="E150" s="229"/>
    </row>
    <row r="151" spans="5:5" ht="12.75" customHeight="1" x14ac:dyDescent="0.2">
      <c r="E151" s="229"/>
    </row>
    <row r="152" spans="5:5" ht="12.75" customHeight="1" x14ac:dyDescent="0.2">
      <c r="E152" s="229"/>
    </row>
    <row r="153" spans="5:5" ht="12.75" customHeight="1" x14ac:dyDescent="0.2">
      <c r="E153" s="229"/>
    </row>
    <row r="154" spans="5:5" ht="12.75" customHeight="1" x14ac:dyDescent="0.2">
      <c r="E154" s="229"/>
    </row>
    <row r="155" spans="5:5" ht="12.75" customHeight="1" x14ac:dyDescent="0.2">
      <c r="E155" s="229"/>
    </row>
    <row r="156" spans="5:5" ht="12.75" customHeight="1" x14ac:dyDescent="0.2">
      <c r="E156" s="229"/>
    </row>
    <row r="157" spans="5:5" ht="12.75" customHeight="1" x14ac:dyDescent="0.2">
      <c r="E157" s="229"/>
    </row>
    <row r="158" spans="5:5" ht="12.75" customHeight="1" x14ac:dyDescent="0.2">
      <c r="E158" s="229"/>
    </row>
    <row r="159" spans="5:5" ht="12.75" customHeight="1" x14ac:dyDescent="0.2">
      <c r="E159" s="229"/>
    </row>
    <row r="160" spans="5:5" ht="12.75" customHeight="1" x14ac:dyDescent="0.2">
      <c r="E160" s="229"/>
    </row>
    <row r="161" spans="5:5" ht="12.75" customHeight="1" x14ac:dyDescent="0.2">
      <c r="E161" s="229"/>
    </row>
    <row r="162" spans="5:5" ht="12.75" customHeight="1" x14ac:dyDescent="0.2">
      <c r="E162" s="229"/>
    </row>
    <row r="163" spans="5:5" ht="12.75" customHeight="1" x14ac:dyDescent="0.2">
      <c r="E163" s="229"/>
    </row>
    <row r="164" spans="5:5" ht="12.75" customHeight="1" x14ac:dyDescent="0.2">
      <c r="E164" s="229"/>
    </row>
    <row r="165" spans="5:5" ht="12.75" customHeight="1" x14ac:dyDescent="0.2">
      <c r="E165" s="229"/>
    </row>
    <row r="166" spans="5:5" ht="12.75" customHeight="1" x14ac:dyDescent="0.2">
      <c r="E166" s="229"/>
    </row>
    <row r="167" spans="5:5" ht="12.75" customHeight="1" x14ac:dyDescent="0.2">
      <c r="E167" s="229"/>
    </row>
    <row r="168" spans="5:5" ht="12.75" customHeight="1" x14ac:dyDescent="0.2">
      <c r="E168" s="229"/>
    </row>
    <row r="169" spans="5:5" ht="12.75" customHeight="1" x14ac:dyDescent="0.2">
      <c r="E169" s="229"/>
    </row>
    <row r="170" spans="5:5" ht="12.75" customHeight="1" x14ac:dyDescent="0.2">
      <c r="E170" s="229"/>
    </row>
    <row r="171" spans="5:5" ht="12.75" customHeight="1" x14ac:dyDescent="0.2">
      <c r="E171" s="229"/>
    </row>
    <row r="172" spans="5:5" ht="12.75" customHeight="1" x14ac:dyDescent="0.2">
      <c r="E172" s="229"/>
    </row>
    <row r="173" spans="5:5" ht="12.75" customHeight="1" x14ac:dyDescent="0.2">
      <c r="E173" s="229"/>
    </row>
    <row r="174" spans="5:5" ht="12.75" customHeight="1" x14ac:dyDescent="0.2">
      <c r="E174" s="229"/>
    </row>
    <row r="175" spans="5:5" ht="12.75" customHeight="1" x14ac:dyDescent="0.2">
      <c r="E175" s="229"/>
    </row>
    <row r="176" spans="5:5" ht="12.75" customHeight="1" x14ac:dyDescent="0.2">
      <c r="E176" s="229"/>
    </row>
    <row r="177" spans="5:5" ht="12.75" customHeight="1" x14ac:dyDescent="0.2">
      <c r="E177" s="229"/>
    </row>
    <row r="178" spans="5:5" ht="12.75" customHeight="1" x14ac:dyDescent="0.2">
      <c r="E178" s="229"/>
    </row>
    <row r="179" spans="5:5" ht="12.75" customHeight="1" x14ac:dyDescent="0.2">
      <c r="E179" s="229"/>
    </row>
    <row r="180" spans="5:5" ht="12.75" customHeight="1" x14ac:dyDescent="0.2">
      <c r="E180" s="229"/>
    </row>
    <row r="181" spans="5:5" ht="12.75" customHeight="1" x14ac:dyDescent="0.2">
      <c r="E181" s="229"/>
    </row>
    <row r="182" spans="5:5" ht="12.75" customHeight="1" x14ac:dyDescent="0.2">
      <c r="E182" s="229"/>
    </row>
    <row r="183" spans="5:5" ht="12.75" customHeight="1" x14ac:dyDescent="0.2">
      <c r="E183" s="229"/>
    </row>
    <row r="184" spans="5:5" ht="12.75" customHeight="1" x14ac:dyDescent="0.2">
      <c r="E184" s="229"/>
    </row>
    <row r="185" spans="5:5" ht="12.75" customHeight="1" x14ac:dyDescent="0.2">
      <c r="E185" s="229"/>
    </row>
    <row r="186" spans="5:5" ht="12.75" customHeight="1" x14ac:dyDescent="0.2">
      <c r="E186" s="229"/>
    </row>
    <row r="187" spans="5:5" ht="12.75" customHeight="1" x14ac:dyDescent="0.2">
      <c r="E187" s="229"/>
    </row>
    <row r="188" spans="5:5" ht="12.75" customHeight="1" x14ac:dyDescent="0.2">
      <c r="E188" s="229"/>
    </row>
    <row r="189" spans="5:5" ht="12.75" customHeight="1" x14ac:dyDescent="0.2">
      <c r="E189" s="229"/>
    </row>
    <row r="190" spans="5:5" ht="12.75" customHeight="1" x14ac:dyDescent="0.2">
      <c r="E190" s="229"/>
    </row>
    <row r="191" spans="5:5" ht="12.75" customHeight="1" x14ac:dyDescent="0.2">
      <c r="E191" s="229"/>
    </row>
    <row r="192" spans="5:5" ht="12.75" customHeight="1" x14ac:dyDescent="0.2">
      <c r="E192" s="229"/>
    </row>
    <row r="193" spans="5:5" ht="12.75" customHeight="1" x14ac:dyDescent="0.2">
      <c r="E193" s="229"/>
    </row>
    <row r="194" spans="5:5" ht="12.75" customHeight="1" x14ac:dyDescent="0.2">
      <c r="E194" s="229"/>
    </row>
    <row r="195" spans="5:5" ht="12.75" customHeight="1" x14ac:dyDescent="0.2">
      <c r="E195" s="229"/>
    </row>
    <row r="196" spans="5:5" ht="12.75" customHeight="1" x14ac:dyDescent="0.2">
      <c r="E196" s="229"/>
    </row>
    <row r="197" spans="5:5" ht="12.75" customHeight="1" x14ac:dyDescent="0.2">
      <c r="E197" s="229"/>
    </row>
    <row r="198" spans="5:5" ht="12.75" customHeight="1" x14ac:dyDescent="0.2">
      <c r="E198" s="229"/>
    </row>
    <row r="199" spans="5:5" ht="12.75" customHeight="1" x14ac:dyDescent="0.2">
      <c r="E199" s="229"/>
    </row>
    <row r="200" spans="5:5" ht="12.75" customHeight="1" x14ac:dyDescent="0.2">
      <c r="E200" s="229"/>
    </row>
    <row r="201" spans="5:5" ht="12.75" customHeight="1" x14ac:dyDescent="0.2">
      <c r="E201" s="229"/>
    </row>
    <row r="202" spans="5:5" ht="12.75" customHeight="1" x14ac:dyDescent="0.2">
      <c r="E202" s="229"/>
    </row>
    <row r="203" spans="5:5" ht="12.75" customHeight="1" x14ac:dyDescent="0.2">
      <c r="E203" s="229"/>
    </row>
    <row r="204" spans="5:5" ht="12.75" customHeight="1" x14ac:dyDescent="0.2">
      <c r="E204" s="229"/>
    </row>
    <row r="205" spans="5:5" ht="12.75" customHeight="1" x14ac:dyDescent="0.2">
      <c r="E205" s="229"/>
    </row>
    <row r="206" spans="5:5" ht="12.75" customHeight="1" x14ac:dyDescent="0.2">
      <c r="E206" s="229"/>
    </row>
    <row r="207" spans="5:5" ht="12.75" customHeight="1" x14ac:dyDescent="0.2">
      <c r="E207" s="229"/>
    </row>
    <row r="208" spans="5:5" ht="12.75" customHeight="1" x14ac:dyDescent="0.2">
      <c r="E208" s="229"/>
    </row>
    <row r="209" spans="5:5" ht="12.75" customHeight="1" x14ac:dyDescent="0.2">
      <c r="E209" s="229"/>
    </row>
    <row r="210" spans="5:5" ht="12.75" customHeight="1" x14ac:dyDescent="0.2">
      <c r="E210" s="229"/>
    </row>
    <row r="211" spans="5:5" ht="12.75" customHeight="1" x14ac:dyDescent="0.2">
      <c r="E211" s="229"/>
    </row>
    <row r="212" spans="5:5" ht="12.75" customHeight="1" x14ac:dyDescent="0.2">
      <c r="E212" s="229"/>
    </row>
    <row r="213" spans="5:5" ht="12.75" customHeight="1" x14ac:dyDescent="0.2">
      <c r="E213" s="229"/>
    </row>
    <row r="214" spans="5:5" ht="12.75" customHeight="1" x14ac:dyDescent="0.2">
      <c r="E214" s="229"/>
    </row>
    <row r="215" spans="5:5" ht="12.75" customHeight="1" x14ac:dyDescent="0.2">
      <c r="E215" s="229"/>
    </row>
    <row r="216" spans="5:5" ht="12.75" customHeight="1" x14ac:dyDescent="0.2">
      <c r="E216" s="229"/>
    </row>
    <row r="217" spans="5:5" ht="12.75" customHeight="1" x14ac:dyDescent="0.2">
      <c r="E217" s="229"/>
    </row>
    <row r="218" spans="5:5" ht="12.75" customHeight="1" x14ac:dyDescent="0.2">
      <c r="E218" s="229"/>
    </row>
    <row r="219" spans="5:5" ht="12.75" customHeight="1" x14ac:dyDescent="0.2">
      <c r="E219" s="229"/>
    </row>
    <row r="220" spans="5:5" ht="12.75" customHeight="1" x14ac:dyDescent="0.2">
      <c r="E220" s="229"/>
    </row>
    <row r="221" spans="5:5" ht="12.75" customHeight="1" x14ac:dyDescent="0.2">
      <c r="E221" s="229"/>
    </row>
    <row r="222" spans="5:5" ht="12.75" customHeight="1" x14ac:dyDescent="0.2">
      <c r="E222" s="229"/>
    </row>
    <row r="223" spans="5:5" ht="12.75" customHeight="1" x14ac:dyDescent="0.2">
      <c r="E223" s="229"/>
    </row>
    <row r="224" spans="5:5" ht="12.75" customHeight="1" x14ac:dyDescent="0.2">
      <c r="E224" s="229"/>
    </row>
    <row r="225" spans="5:5" ht="12.75" customHeight="1" x14ac:dyDescent="0.2">
      <c r="E225" s="229"/>
    </row>
    <row r="226" spans="5:5" ht="12.75" customHeight="1" x14ac:dyDescent="0.2">
      <c r="E226" s="229"/>
    </row>
    <row r="227" spans="5:5" ht="12.75" customHeight="1" x14ac:dyDescent="0.2">
      <c r="E227" s="229"/>
    </row>
    <row r="228" spans="5:5" ht="12.75" customHeight="1" x14ac:dyDescent="0.2">
      <c r="E228" s="229"/>
    </row>
    <row r="229" spans="5:5" ht="12.75" customHeight="1" x14ac:dyDescent="0.2">
      <c r="E229" s="229"/>
    </row>
    <row r="230" spans="5:5" ht="12.75" customHeight="1" x14ac:dyDescent="0.2">
      <c r="E230" s="229"/>
    </row>
    <row r="231" spans="5:5" ht="12.75" customHeight="1" x14ac:dyDescent="0.2">
      <c r="E231" s="229"/>
    </row>
    <row r="232" spans="5:5" ht="12.75" customHeight="1" x14ac:dyDescent="0.2">
      <c r="E232" s="229"/>
    </row>
    <row r="233" spans="5:5" ht="12.75" customHeight="1" x14ac:dyDescent="0.2">
      <c r="E233" s="229"/>
    </row>
    <row r="234" spans="5:5" ht="12.75" customHeight="1" x14ac:dyDescent="0.2">
      <c r="E234" s="229"/>
    </row>
    <row r="235" spans="5:5" ht="12.75" customHeight="1" x14ac:dyDescent="0.2">
      <c r="E235" s="229"/>
    </row>
    <row r="236" spans="5:5" ht="12.75" customHeight="1" x14ac:dyDescent="0.2">
      <c r="E236" s="229"/>
    </row>
    <row r="237" spans="5:5" ht="12.75" customHeight="1" x14ac:dyDescent="0.2">
      <c r="E237" s="229"/>
    </row>
    <row r="238" spans="5:5" ht="12.75" customHeight="1" x14ac:dyDescent="0.2">
      <c r="E238" s="229"/>
    </row>
    <row r="239" spans="5:5" ht="12.75" customHeight="1" x14ac:dyDescent="0.2">
      <c r="E239" s="229"/>
    </row>
    <row r="240" spans="5:5" ht="12.75" customHeight="1" x14ac:dyDescent="0.2">
      <c r="E240" s="229"/>
    </row>
    <row r="241" spans="5:5" ht="12.75" customHeight="1" x14ac:dyDescent="0.2">
      <c r="E241" s="229"/>
    </row>
    <row r="242" spans="5:5" ht="12.75" customHeight="1" x14ac:dyDescent="0.2">
      <c r="E242" s="229"/>
    </row>
    <row r="243" spans="5:5" ht="12.75" customHeight="1" x14ac:dyDescent="0.2">
      <c r="E243" s="229"/>
    </row>
    <row r="244" spans="5:5" ht="12.75" customHeight="1" x14ac:dyDescent="0.2">
      <c r="E244" s="229"/>
    </row>
    <row r="245" spans="5:5" ht="12.75" customHeight="1" x14ac:dyDescent="0.2">
      <c r="E245" s="229"/>
    </row>
    <row r="246" spans="5:5" ht="12.75" customHeight="1" x14ac:dyDescent="0.2">
      <c r="E246" s="229"/>
    </row>
    <row r="247" spans="5:5" ht="12.75" customHeight="1" x14ac:dyDescent="0.2">
      <c r="E247" s="229"/>
    </row>
    <row r="248" spans="5:5" ht="12.75" customHeight="1" x14ac:dyDescent="0.2">
      <c r="E248" s="229"/>
    </row>
    <row r="249" spans="5:5" ht="12.75" customHeight="1" x14ac:dyDescent="0.2">
      <c r="E249" s="229"/>
    </row>
    <row r="250" spans="5:5" ht="12.75" customHeight="1" x14ac:dyDescent="0.2">
      <c r="E250" s="229"/>
    </row>
    <row r="251" spans="5:5" ht="12.75" customHeight="1" x14ac:dyDescent="0.2">
      <c r="E251" s="229"/>
    </row>
    <row r="252" spans="5:5" ht="12.75" customHeight="1" x14ac:dyDescent="0.2">
      <c r="E252" s="229"/>
    </row>
    <row r="253" spans="5:5" ht="12.75" customHeight="1" x14ac:dyDescent="0.2">
      <c r="E253" s="229"/>
    </row>
    <row r="254" spans="5:5" ht="12.75" customHeight="1" x14ac:dyDescent="0.2">
      <c r="E254" s="229"/>
    </row>
    <row r="255" spans="5:5" ht="12.75" customHeight="1" x14ac:dyDescent="0.2">
      <c r="E255" s="229"/>
    </row>
    <row r="256" spans="5:5" ht="12.75" customHeight="1" x14ac:dyDescent="0.2">
      <c r="E256" s="229"/>
    </row>
    <row r="257" spans="5:5" ht="12.75" customHeight="1" x14ac:dyDescent="0.2">
      <c r="E257" s="229"/>
    </row>
    <row r="258" spans="5:5" ht="12.75" customHeight="1" x14ac:dyDescent="0.2">
      <c r="E258" s="229"/>
    </row>
    <row r="259" spans="5:5" ht="12.75" customHeight="1" x14ac:dyDescent="0.2">
      <c r="E259" s="229"/>
    </row>
    <row r="260" spans="5:5" ht="12.75" customHeight="1" x14ac:dyDescent="0.2">
      <c r="E260" s="229"/>
    </row>
    <row r="261" spans="5:5" ht="12.75" customHeight="1" x14ac:dyDescent="0.2">
      <c r="E261" s="229"/>
    </row>
    <row r="262" spans="5:5" ht="12.75" customHeight="1" x14ac:dyDescent="0.2">
      <c r="E262" s="229"/>
    </row>
    <row r="263" spans="5:5" ht="12.75" customHeight="1" x14ac:dyDescent="0.2">
      <c r="E263" s="229"/>
    </row>
    <row r="264" spans="5:5" ht="12.75" customHeight="1" x14ac:dyDescent="0.2">
      <c r="E264" s="229"/>
    </row>
    <row r="265" spans="5:5" ht="12.75" customHeight="1" x14ac:dyDescent="0.2">
      <c r="E265" s="229"/>
    </row>
    <row r="266" spans="5:5" ht="12.75" customHeight="1" x14ac:dyDescent="0.2">
      <c r="E266" s="229"/>
    </row>
    <row r="267" spans="5:5" ht="12.75" customHeight="1" x14ac:dyDescent="0.2">
      <c r="E267" s="229"/>
    </row>
    <row r="268" spans="5:5" ht="12.75" customHeight="1" x14ac:dyDescent="0.2">
      <c r="E268" s="229"/>
    </row>
    <row r="269" spans="5:5" ht="12.75" customHeight="1" x14ac:dyDescent="0.2">
      <c r="E269" s="229"/>
    </row>
    <row r="270" spans="5:5" ht="12.75" customHeight="1" x14ac:dyDescent="0.2">
      <c r="E270" s="229"/>
    </row>
    <row r="271" spans="5:5" ht="12.75" customHeight="1" x14ac:dyDescent="0.2">
      <c r="E271" s="229"/>
    </row>
    <row r="272" spans="5:5" ht="12.75" customHeight="1" x14ac:dyDescent="0.2">
      <c r="E272" s="229"/>
    </row>
    <row r="273" spans="5:5" ht="12.75" customHeight="1" x14ac:dyDescent="0.2">
      <c r="E273" s="229"/>
    </row>
    <row r="274" spans="5:5" ht="12.75" customHeight="1" x14ac:dyDescent="0.2">
      <c r="E274" s="229"/>
    </row>
    <row r="275" spans="5:5" ht="12.75" customHeight="1" x14ac:dyDescent="0.2">
      <c r="E275" s="229"/>
    </row>
    <row r="276" spans="5:5" ht="12.75" customHeight="1" x14ac:dyDescent="0.2">
      <c r="E276" s="229"/>
    </row>
    <row r="277" spans="5:5" ht="12.75" customHeight="1" x14ac:dyDescent="0.2">
      <c r="E277" s="229"/>
    </row>
    <row r="278" spans="5:5" ht="12.75" customHeight="1" x14ac:dyDescent="0.2">
      <c r="E278" s="229"/>
    </row>
    <row r="279" spans="5:5" ht="12.75" customHeight="1" x14ac:dyDescent="0.2">
      <c r="E279" s="229"/>
    </row>
    <row r="280" spans="5:5" ht="12.75" customHeight="1" x14ac:dyDescent="0.2">
      <c r="E280" s="229"/>
    </row>
    <row r="281" spans="5:5" ht="12.75" customHeight="1" x14ac:dyDescent="0.2">
      <c r="E281" s="229"/>
    </row>
    <row r="282" spans="5:5" ht="12.75" customHeight="1" x14ac:dyDescent="0.2">
      <c r="E282" s="229"/>
    </row>
    <row r="283" spans="5:5" ht="12.75" customHeight="1" x14ac:dyDescent="0.2">
      <c r="E283" s="229"/>
    </row>
    <row r="284" spans="5:5" ht="12.75" customHeight="1" x14ac:dyDescent="0.2">
      <c r="E284" s="229"/>
    </row>
    <row r="285" spans="5:5" ht="12.75" customHeight="1" x14ac:dyDescent="0.2">
      <c r="E285" s="229"/>
    </row>
    <row r="286" spans="5:5" ht="12.75" customHeight="1" x14ac:dyDescent="0.2">
      <c r="E286" s="229"/>
    </row>
    <row r="287" spans="5:5" ht="12.75" customHeight="1" x14ac:dyDescent="0.2">
      <c r="E287" s="229"/>
    </row>
    <row r="288" spans="5:5" ht="12.75" customHeight="1" x14ac:dyDescent="0.2">
      <c r="E288" s="229"/>
    </row>
    <row r="289" spans="5:5" ht="12.75" customHeight="1" x14ac:dyDescent="0.2">
      <c r="E289" s="229"/>
    </row>
    <row r="290" spans="5:5" ht="12.75" customHeight="1" x14ac:dyDescent="0.2">
      <c r="E290" s="229"/>
    </row>
    <row r="291" spans="5:5" ht="12.75" customHeight="1" x14ac:dyDescent="0.2">
      <c r="E291" s="229"/>
    </row>
    <row r="292" spans="5:5" ht="12.75" customHeight="1" x14ac:dyDescent="0.2">
      <c r="E292" s="229"/>
    </row>
    <row r="293" spans="5:5" ht="12.75" customHeight="1" x14ac:dyDescent="0.2">
      <c r="E293" s="229"/>
    </row>
    <row r="294" spans="5:5" ht="12.75" customHeight="1" x14ac:dyDescent="0.2">
      <c r="E294" s="229"/>
    </row>
    <row r="295" spans="5:5" ht="12.75" customHeight="1" x14ac:dyDescent="0.2">
      <c r="E295" s="229"/>
    </row>
    <row r="296" spans="5:5" ht="12.75" customHeight="1" x14ac:dyDescent="0.2">
      <c r="E296" s="229"/>
    </row>
    <row r="297" spans="5:5" ht="12.75" customHeight="1" x14ac:dyDescent="0.2">
      <c r="E297" s="229"/>
    </row>
    <row r="298" spans="5:5" ht="12.75" customHeight="1" x14ac:dyDescent="0.2">
      <c r="E298" s="229"/>
    </row>
    <row r="299" spans="5:5" ht="12.75" customHeight="1" x14ac:dyDescent="0.2">
      <c r="E299" s="229"/>
    </row>
    <row r="300" spans="5:5" ht="12.75" customHeight="1" x14ac:dyDescent="0.2">
      <c r="E300" s="229"/>
    </row>
    <row r="301" spans="5:5" ht="12.75" customHeight="1" x14ac:dyDescent="0.2">
      <c r="E301" s="229"/>
    </row>
    <row r="302" spans="5:5" ht="12.75" customHeight="1" x14ac:dyDescent="0.2">
      <c r="E302" s="229"/>
    </row>
    <row r="303" spans="5:5" ht="12.75" customHeight="1" x14ac:dyDescent="0.2">
      <c r="E303" s="229"/>
    </row>
    <row r="304" spans="5:5" ht="12.75" customHeight="1" x14ac:dyDescent="0.2">
      <c r="E304" s="229"/>
    </row>
    <row r="305" spans="5:5" ht="12.75" customHeight="1" x14ac:dyDescent="0.2">
      <c r="E305" s="229"/>
    </row>
    <row r="306" spans="5:5" ht="12.75" customHeight="1" x14ac:dyDescent="0.2">
      <c r="E306" s="229"/>
    </row>
    <row r="307" spans="5:5" ht="12.75" customHeight="1" x14ac:dyDescent="0.2">
      <c r="E307" s="229"/>
    </row>
    <row r="308" spans="5:5" ht="12.75" customHeight="1" x14ac:dyDescent="0.2">
      <c r="E308" s="229"/>
    </row>
    <row r="309" spans="5:5" ht="12.75" customHeight="1" x14ac:dyDescent="0.2">
      <c r="E309" s="229"/>
    </row>
    <row r="310" spans="5:5" ht="12.75" customHeight="1" x14ac:dyDescent="0.2">
      <c r="E310" s="229"/>
    </row>
    <row r="311" spans="5:5" ht="12.75" customHeight="1" x14ac:dyDescent="0.2">
      <c r="E311" s="229"/>
    </row>
    <row r="312" spans="5:5" ht="12.75" customHeight="1" x14ac:dyDescent="0.2">
      <c r="E312" s="229"/>
    </row>
    <row r="313" spans="5:5" ht="12.75" customHeight="1" x14ac:dyDescent="0.2">
      <c r="E313" s="229"/>
    </row>
    <row r="314" spans="5:5" ht="12.75" customHeight="1" x14ac:dyDescent="0.2">
      <c r="E314" s="229"/>
    </row>
    <row r="315" spans="5:5" ht="12.75" customHeight="1" x14ac:dyDescent="0.2">
      <c r="E315" s="229"/>
    </row>
    <row r="316" spans="5:5" ht="12.75" customHeight="1" x14ac:dyDescent="0.2">
      <c r="E316" s="229"/>
    </row>
    <row r="317" spans="5:5" ht="12.75" customHeight="1" x14ac:dyDescent="0.2">
      <c r="E317" s="229"/>
    </row>
    <row r="318" spans="5:5" ht="12.75" customHeight="1" x14ac:dyDescent="0.2">
      <c r="E318" s="229"/>
    </row>
    <row r="319" spans="5:5" ht="12.75" customHeight="1" x14ac:dyDescent="0.2">
      <c r="E319" s="229"/>
    </row>
    <row r="320" spans="5:5" ht="12.75" customHeight="1" x14ac:dyDescent="0.2">
      <c r="E320" s="229"/>
    </row>
    <row r="321" spans="5:5" ht="12.75" customHeight="1" x14ac:dyDescent="0.2">
      <c r="E321" s="229"/>
    </row>
    <row r="322" spans="5:5" ht="12.75" customHeight="1" x14ac:dyDescent="0.2">
      <c r="E322" s="229"/>
    </row>
    <row r="323" spans="5:5" ht="12.75" customHeight="1" x14ac:dyDescent="0.2">
      <c r="E323" s="229"/>
    </row>
    <row r="324" spans="5:5" ht="12.75" customHeight="1" x14ac:dyDescent="0.2">
      <c r="E324" s="229"/>
    </row>
    <row r="325" spans="5:5" ht="12.75" customHeight="1" x14ac:dyDescent="0.2">
      <c r="E325" s="229"/>
    </row>
    <row r="326" spans="5:5" ht="12.75" customHeight="1" x14ac:dyDescent="0.2">
      <c r="E326" s="229"/>
    </row>
    <row r="327" spans="5:5" ht="12.75" customHeight="1" x14ac:dyDescent="0.2">
      <c r="E327" s="229"/>
    </row>
    <row r="328" spans="5:5" ht="12.75" customHeight="1" x14ac:dyDescent="0.2">
      <c r="E328" s="229"/>
    </row>
    <row r="329" spans="5:5" ht="12.75" customHeight="1" x14ac:dyDescent="0.2">
      <c r="E329" s="229"/>
    </row>
    <row r="330" spans="5:5" ht="12.75" customHeight="1" x14ac:dyDescent="0.2">
      <c r="E330" s="229"/>
    </row>
    <row r="331" spans="5:5" ht="12.75" customHeight="1" x14ac:dyDescent="0.2">
      <c r="E331" s="229"/>
    </row>
    <row r="332" spans="5:5" ht="12.75" customHeight="1" x14ac:dyDescent="0.2">
      <c r="E332" s="229"/>
    </row>
    <row r="333" spans="5:5" ht="12.75" customHeight="1" x14ac:dyDescent="0.2">
      <c r="E333" s="229"/>
    </row>
    <row r="334" spans="5:5" ht="12.75" customHeight="1" x14ac:dyDescent="0.2">
      <c r="E334" s="229"/>
    </row>
    <row r="335" spans="5:5" ht="12.75" customHeight="1" x14ac:dyDescent="0.2">
      <c r="E335" s="229"/>
    </row>
    <row r="336" spans="5:5" ht="12.75" customHeight="1" x14ac:dyDescent="0.2">
      <c r="E336" s="229"/>
    </row>
    <row r="337" spans="5:5" ht="12.75" customHeight="1" x14ac:dyDescent="0.2">
      <c r="E337" s="229"/>
    </row>
    <row r="338" spans="5:5" ht="12.75" customHeight="1" x14ac:dyDescent="0.2">
      <c r="E338" s="229"/>
    </row>
    <row r="339" spans="5:5" ht="12.75" customHeight="1" x14ac:dyDescent="0.2">
      <c r="E339" s="229"/>
    </row>
    <row r="340" spans="5:5" ht="12.75" customHeight="1" x14ac:dyDescent="0.2">
      <c r="E340" s="229"/>
    </row>
    <row r="341" spans="5:5" ht="12.75" customHeight="1" x14ac:dyDescent="0.2">
      <c r="E341" s="229"/>
    </row>
    <row r="342" spans="5:5" ht="12.75" customHeight="1" x14ac:dyDescent="0.2">
      <c r="E342" s="229"/>
    </row>
    <row r="343" spans="5:5" ht="12.75" customHeight="1" x14ac:dyDescent="0.2">
      <c r="E343" s="229"/>
    </row>
    <row r="344" spans="5:5" ht="12.75" customHeight="1" x14ac:dyDescent="0.2">
      <c r="E344" s="229"/>
    </row>
    <row r="345" spans="5:5" ht="12.75" customHeight="1" x14ac:dyDescent="0.2">
      <c r="E345" s="229"/>
    </row>
    <row r="346" spans="5:5" ht="12.75" customHeight="1" x14ac:dyDescent="0.2">
      <c r="E346" s="229"/>
    </row>
    <row r="347" spans="5:5" ht="12.75" customHeight="1" x14ac:dyDescent="0.2">
      <c r="E347" s="229"/>
    </row>
    <row r="348" spans="5:5" ht="12.75" customHeight="1" x14ac:dyDescent="0.2">
      <c r="E348" s="229"/>
    </row>
    <row r="349" spans="5:5" ht="12.75" customHeight="1" x14ac:dyDescent="0.2">
      <c r="E349" s="229"/>
    </row>
    <row r="350" spans="5:5" ht="12.75" customHeight="1" x14ac:dyDescent="0.2">
      <c r="E350" s="229"/>
    </row>
    <row r="351" spans="5:5" ht="12.75" customHeight="1" x14ac:dyDescent="0.2">
      <c r="E351" s="229"/>
    </row>
    <row r="352" spans="5:5" ht="12.75" customHeight="1" x14ac:dyDescent="0.2">
      <c r="E352" s="229"/>
    </row>
    <row r="353" spans="5:5" ht="12.75" customHeight="1" x14ac:dyDescent="0.2">
      <c r="E353" s="229"/>
    </row>
    <row r="354" spans="5:5" ht="12.75" customHeight="1" x14ac:dyDescent="0.2">
      <c r="E354" s="229"/>
    </row>
    <row r="355" spans="5:5" ht="12.75" customHeight="1" x14ac:dyDescent="0.2">
      <c r="E355" s="229"/>
    </row>
    <row r="356" spans="5:5" ht="12.75" customHeight="1" x14ac:dyDescent="0.2">
      <c r="E356" s="229"/>
    </row>
    <row r="357" spans="5:5" ht="12.75" customHeight="1" x14ac:dyDescent="0.2">
      <c r="E357" s="229"/>
    </row>
    <row r="358" spans="5:5" ht="12.75" customHeight="1" x14ac:dyDescent="0.2">
      <c r="E358" s="229"/>
    </row>
    <row r="359" spans="5:5" ht="12.75" customHeight="1" x14ac:dyDescent="0.2">
      <c r="E359" s="229"/>
    </row>
    <row r="360" spans="5:5" ht="12.75" customHeight="1" x14ac:dyDescent="0.2">
      <c r="E360" s="229"/>
    </row>
    <row r="361" spans="5:5" ht="12.75" customHeight="1" x14ac:dyDescent="0.2">
      <c r="E361" s="229"/>
    </row>
    <row r="362" spans="5:5" ht="12.75" customHeight="1" x14ac:dyDescent="0.2">
      <c r="E362" s="229"/>
    </row>
    <row r="363" spans="5:5" ht="12.75" customHeight="1" x14ac:dyDescent="0.2">
      <c r="E363" s="229"/>
    </row>
    <row r="364" spans="5:5" ht="12.75" customHeight="1" x14ac:dyDescent="0.2">
      <c r="E364" s="229"/>
    </row>
    <row r="365" spans="5:5" ht="12.75" customHeight="1" x14ac:dyDescent="0.2">
      <c r="E365" s="229"/>
    </row>
    <row r="366" spans="5:5" ht="12.75" customHeight="1" x14ac:dyDescent="0.2">
      <c r="E366" s="229"/>
    </row>
    <row r="367" spans="5:5" ht="12.75" customHeight="1" x14ac:dyDescent="0.2">
      <c r="E367" s="229"/>
    </row>
    <row r="368" spans="5:5" ht="12.75" customHeight="1" x14ac:dyDescent="0.2">
      <c r="E368" s="229"/>
    </row>
    <row r="369" spans="5:5" ht="12.75" customHeight="1" x14ac:dyDescent="0.2">
      <c r="E369" s="229"/>
    </row>
    <row r="370" spans="5:5" ht="12.75" customHeight="1" x14ac:dyDescent="0.2">
      <c r="E370" s="229"/>
    </row>
    <row r="371" spans="5:5" ht="12.75" customHeight="1" x14ac:dyDescent="0.2">
      <c r="E371" s="229"/>
    </row>
    <row r="372" spans="5:5" ht="12.75" customHeight="1" x14ac:dyDescent="0.2">
      <c r="E372" s="229"/>
    </row>
    <row r="373" spans="5:5" ht="12.75" customHeight="1" x14ac:dyDescent="0.2">
      <c r="E373" s="229"/>
    </row>
    <row r="374" spans="5:5" ht="12.75" customHeight="1" x14ac:dyDescent="0.2">
      <c r="E374" s="229"/>
    </row>
    <row r="375" spans="5:5" ht="12.75" customHeight="1" x14ac:dyDescent="0.2">
      <c r="E375" s="229"/>
    </row>
    <row r="376" spans="5:5" ht="12.75" customHeight="1" x14ac:dyDescent="0.2">
      <c r="E376" s="229"/>
    </row>
    <row r="377" spans="5:5" ht="12.75" customHeight="1" x14ac:dyDescent="0.2">
      <c r="E377" s="229"/>
    </row>
    <row r="378" spans="5:5" ht="12.75" customHeight="1" x14ac:dyDescent="0.2">
      <c r="E378" s="229"/>
    </row>
    <row r="379" spans="5:5" ht="12.75" customHeight="1" x14ac:dyDescent="0.2">
      <c r="E379" s="229"/>
    </row>
    <row r="380" spans="5:5" ht="12.75" customHeight="1" x14ac:dyDescent="0.2">
      <c r="E380" s="229"/>
    </row>
    <row r="381" spans="5:5" ht="12.75" customHeight="1" x14ac:dyDescent="0.2">
      <c r="E381" s="229"/>
    </row>
    <row r="382" spans="5:5" ht="12.75" customHeight="1" x14ac:dyDescent="0.2">
      <c r="E382" s="229"/>
    </row>
    <row r="383" spans="5:5" ht="12.75" customHeight="1" x14ac:dyDescent="0.2">
      <c r="E383" s="229"/>
    </row>
    <row r="384" spans="5:5" ht="12.75" customHeight="1" x14ac:dyDescent="0.2">
      <c r="E384" s="229"/>
    </row>
    <row r="385" spans="5:5" ht="12.75" customHeight="1" x14ac:dyDescent="0.2">
      <c r="E385" s="229"/>
    </row>
    <row r="386" spans="5:5" ht="12.75" customHeight="1" x14ac:dyDescent="0.2">
      <c r="E386" s="229"/>
    </row>
    <row r="387" spans="5:5" ht="12.75" customHeight="1" x14ac:dyDescent="0.2">
      <c r="E387" s="229"/>
    </row>
    <row r="388" spans="5:5" ht="12.75" customHeight="1" x14ac:dyDescent="0.2">
      <c r="E388" s="229"/>
    </row>
    <row r="389" spans="5:5" ht="12.75" customHeight="1" x14ac:dyDescent="0.2">
      <c r="E389" s="229"/>
    </row>
    <row r="390" spans="5:5" ht="12.75" customHeight="1" x14ac:dyDescent="0.2">
      <c r="E390" s="229"/>
    </row>
    <row r="391" spans="5:5" ht="12.75" customHeight="1" x14ac:dyDescent="0.2">
      <c r="E391" s="229"/>
    </row>
    <row r="392" spans="5:5" ht="12.75" customHeight="1" x14ac:dyDescent="0.2">
      <c r="E392" s="229"/>
    </row>
    <row r="393" spans="5:5" ht="12.75" customHeight="1" x14ac:dyDescent="0.2">
      <c r="E393" s="229"/>
    </row>
    <row r="394" spans="5:5" ht="12.75" customHeight="1" x14ac:dyDescent="0.2">
      <c r="E394" s="229"/>
    </row>
    <row r="395" spans="5:5" ht="12.75" customHeight="1" x14ac:dyDescent="0.2">
      <c r="E395" s="229"/>
    </row>
    <row r="396" spans="5:5" ht="12.75" customHeight="1" x14ac:dyDescent="0.2">
      <c r="E396" s="229"/>
    </row>
    <row r="397" spans="5:5" ht="12.75" customHeight="1" x14ac:dyDescent="0.2">
      <c r="E397" s="229"/>
    </row>
    <row r="398" spans="5:5" ht="12.75" customHeight="1" x14ac:dyDescent="0.2">
      <c r="E398" s="229"/>
    </row>
    <row r="399" spans="5:5" ht="12.75" customHeight="1" x14ac:dyDescent="0.2">
      <c r="E399" s="229"/>
    </row>
    <row r="400" spans="5:5" ht="12.75" customHeight="1" x14ac:dyDescent="0.2">
      <c r="E400" s="229"/>
    </row>
    <row r="401" spans="5:5" ht="12.75" customHeight="1" x14ac:dyDescent="0.2">
      <c r="E401" s="229"/>
    </row>
    <row r="402" spans="5:5" ht="12.75" customHeight="1" x14ac:dyDescent="0.2">
      <c r="E402" s="229"/>
    </row>
    <row r="403" spans="5:5" ht="12.75" customHeight="1" x14ac:dyDescent="0.2">
      <c r="E403" s="229"/>
    </row>
    <row r="404" spans="5:5" ht="12.75" customHeight="1" x14ac:dyDescent="0.2">
      <c r="E404" s="229"/>
    </row>
    <row r="405" spans="5:5" ht="12.75" customHeight="1" x14ac:dyDescent="0.2">
      <c r="E405" s="229"/>
    </row>
    <row r="406" spans="5:5" ht="12.75" customHeight="1" x14ac:dyDescent="0.2">
      <c r="E406" s="229"/>
    </row>
    <row r="407" spans="5:5" ht="12.75" customHeight="1" x14ac:dyDescent="0.2">
      <c r="E407" s="229"/>
    </row>
    <row r="408" spans="5:5" ht="12.75" customHeight="1" x14ac:dyDescent="0.2">
      <c r="E408" s="229"/>
    </row>
    <row r="409" spans="5:5" ht="12.75" customHeight="1" x14ac:dyDescent="0.2">
      <c r="E409" s="229"/>
    </row>
    <row r="410" spans="5:5" ht="12.75" customHeight="1" x14ac:dyDescent="0.2">
      <c r="E410" s="229"/>
    </row>
    <row r="411" spans="5:5" ht="12.75" customHeight="1" x14ac:dyDescent="0.2">
      <c r="E411" s="229"/>
    </row>
    <row r="412" spans="5:5" ht="12.75" customHeight="1" x14ac:dyDescent="0.2">
      <c r="E412" s="229"/>
    </row>
    <row r="413" spans="5:5" ht="12.75" customHeight="1" x14ac:dyDescent="0.2">
      <c r="E413" s="229"/>
    </row>
    <row r="414" spans="5:5" ht="12.75" customHeight="1" x14ac:dyDescent="0.2">
      <c r="E414" s="229"/>
    </row>
    <row r="415" spans="5:5" ht="12.75" customHeight="1" x14ac:dyDescent="0.2">
      <c r="E415" s="229"/>
    </row>
    <row r="416" spans="5:5" ht="12.75" customHeight="1" x14ac:dyDescent="0.2">
      <c r="E416" s="229"/>
    </row>
    <row r="417" spans="5:5" ht="12.75" customHeight="1" x14ac:dyDescent="0.2">
      <c r="E417" s="229"/>
    </row>
    <row r="418" spans="5:5" ht="12.75" customHeight="1" x14ac:dyDescent="0.2">
      <c r="E418" s="229"/>
    </row>
    <row r="419" spans="5:5" ht="12.75" customHeight="1" x14ac:dyDescent="0.2">
      <c r="E419" s="229"/>
    </row>
    <row r="420" spans="5:5" ht="12.75" customHeight="1" x14ac:dyDescent="0.2">
      <c r="E420" s="229"/>
    </row>
    <row r="421" spans="5:5" ht="12.75" customHeight="1" x14ac:dyDescent="0.2">
      <c r="E421" s="229"/>
    </row>
    <row r="422" spans="5:5" ht="12.75" customHeight="1" x14ac:dyDescent="0.2">
      <c r="E422" s="229"/>
    </row>
    <row r="423" spans="5:5" ht="12.75" customHeight="1" x14ac:dyDescent="0.2">
      <c r="E423" s="229"/>
    </row>
    <row r="424" spans="5:5" ht="12.75" customHeight="1" x14ac:dyDescent="0.2">
      <c r="E424" s="229"/>
    </row>
    <row r="425" spans="5:5" ht="12.75" customHeight="1" x14ac:dyDescent="0.2">
      <c r="E425" s="229"/>
    </row>
    <row r="426" spans="5:5" ht="12.75" customHeight="1" x14ac:dyDescent="0.2">
      <c r="E426" s="229"/>
    </row>
    <row r="427" spans="5:5" ht="12.75" customHeight="1" x14ac:dyDescent="0.2">
      <c r="E427" s="229"/>
    </row>
    <row r="428" spans="5:5" ht="12.75" customHeight="1" x14ac:dyDescent="0.2">
      <c r="E428" s="229"/>
    </row>
    <row r="429" spans="5:5" ht="12.75" customHeight="1" x14ac:dyDescent="0.2">
      <c r="E429" s="229"/>
    </row>
    <row r="430" spans="5:5" ht="12.75" customHeight="1" x14ac:dyDescent="0.2">
      <c r="E430" s="229"/>
    </row>
    <row r="431" spans="5:5" ht="12.75" customHeight="1" x14ac:dyDescent="0.2">
      <c r="E431" s="229"/>
    </row>
    <row r="432" spans="5:5" ht="12.75" customHeight="1" x14ac:dyDescent="0.2">
      <c r="E432" s="229"/>
    </row>
    <row r="433" spans="5:5" ht="12.75" customHeight="1" x14ac:dyDescent="0.2">
      <c r="E433" s="229"/>
    </row>
    <row r="434" spans="5:5" ht="12.75" customHeight="1" x14ac:dyDescent="0.2">
      <c r="E434" s="229"/>
    </row>
    <row r="435" spans="5:5" ht="12.75" customHeight="1" x14ac:dyDescent="0.2">
      <c r="E435" s="229"/>
    </row>
    <row r="436" spans="5:5" ht="12.75" customHeight="1" x14ac:dyDescent="0.2">
      <c r="E436" s="229"/>
    </row>
    <row r="437" spans="5:5" ht="12.75" customHeight="1" x14ac:dyDescent="0.2">
      <c r="E437" s="229"/>
    </row>
    <row r="438" spans="5:5" ht="12.75" customHeight="1" x14ac:dyDescent="0.2">
      <c r="E438" s="229"/>
    </row>
    <row r="439" spans="5:5" ht="12.75" customHeight="1" x14ac:dyDescent="0.2">
      <c r="E439" s="229"/>
    </row>
    <row r="440" spans="5:5" ht="12.75" customHeight="1" x14ac:dyDescent="0.2">
      <c r="E440" s="229"/>
    </row>
    <row r="441" spans="5:5" ht="12.75" customHeight="1" x14ac:dyDescent="0.2">
      <c r="E441" s="229"/>
    </row>
    <row r="442" spans="5:5" ht="12.75" customHeight="1" x14ac:dyDescent="0.2">
      <c r="E442" s="229"/>
    </row>
    <row r="443" spans="5:5" ht="12.75" customHeight="1" x14ac:dyDescent="0.2">
      <c r="E443" s="229"/>
    </row>
    <row r="444" spans="5:5" ht="12.75" customHeight="1" x14ac:dyDescent="0.2">
      <c r="E444" s="229"/>
    </row>
    <row r="445" spans="5:5" ht="12.75" customHeight="1" x14ac:dyDescent="0.2">
      <c r="E445" s="229"/>
    </row>
    <row r="446" spans="5:5" ht="12.75" customHeight="1" x14ac:dyDescent="0.2">
      <c r="E446" s="229"/>
    </row>
    <row r="447" spans="5:5" ht="12.75" customHeight="1" x14ac:dyDescent="0.2">
      <c r="E447" s="229"/>
    </row>
    <row r="448" spans="5:5" ht="12.75" customHeight="1" x14ac:dyDescent="0.2">
      <c r="E448" s="229"/>
    </row>
    <row r="449" spans="5:5" ht="12.75" customHeight="1" x14ac:dyDescent="0.2">
      <c r="E449" s="229"/>
    </row>
    <row r="450" spans="5:5" ht="12.75" customHeight="1" x14ac:dyDescent="0.2">
      <c r="E450" s="229"/>
    </row>
    <row r="451" spans="5:5" ht="12.75" customHeight="1" x14ac:dyDescent="0.2">
      <c r="E451" s="229"/>
    </row>
    <row r="452" spans="5:5" ht="12.75" customHeight="1" x14ac:dyDescent="0.2">
      <c r="E452" s="229"/>
    </row>
    <row r="453" spans="5:5" ht="12.75" customHeight="1" x14ac:dyDescent="0.2">
      <c r="E453" s="229"/>
    </row>
    <row r="454" spans="5:5" ht="12.75" customHeight="1" x14ac:dyDescent="0.2">
      <c r="E454" s="229"/>
    </row>
    <row r="455" spans="5:5" ht="12.75" customHeight="1" x14ac:dyDescent="0.2">
      <c r="E455" s="229"/>
    </row>
    <row r="456" spans="5:5" ht="12.75" customHeight="1" x14ac:dyDescent="0.2">
      <c r="E456" s="229"/>
    </row>
    <row r="457" spans="5:5" ht="12.75" customHeight="1" x14ac:dyDescent="0.2">
      <c r="E457" s="229"/>
    </row>
    <row r="458" spans="5:5" ht="12.75" customHeight="1" x14ac:dyDescent="0.2">
      <c r="E458" s="229"/>
    </row>
    <row r="459" spans="5:5" ht="12.75" customHeight="1" x14ac:dyDescent="0.2">
      <c r="E459" s="229"/>
    </row>
    <row r="460" spans="5:5" ht="12.75" customHeight="1" x14ac:dyDescent="0.2">
      <c r="E460" s="229"/>
    </row>
    <row r="461" spans="5:5" ht="12.75" customHeight="1" x14ac:dyDescent="0.2">
      <c r="E461" s="229"/>
    </row>
    <row r="462" spans="5:5" ht="12.75" customHeight="1" x14ac:dyDescent="0.2">
      <c r="E462" s="229"/>
    </row>
    <row r="463" spans="5:5" ht="12.75" customHeight="1" x14ac:dyDescent="0.2">
      <c r="E463" s="229"/>
    </row>
    <row r="464" spans="5:5" ht="12.75" customHeight="1" x14ac:dyDescent="0.2">
      <c r="E464" s="229"/>
    </row>
    <row r="465" spans="5:5" ht="12.75" customHeight="1" x14ac:dyDescent="0.2">
      <c r="E465" s="229"/>
    </row>
    <row r="466" spans="5:5" ht="12.75" customHeight="1" x14ac:dyDescent="0.2">
      <c r="E466" s="229"/>
    </row>
    <row r="467" spans="5:5" ht="12.75" customHeight="1" x14ac:dyDescent="0.2">
      <c r="E467" s="229"/>
    </row>
    <row r="468" spans="5:5" ht="12.75" customHeight="1" x14ac:dyDescent="0.2">
      <c r="E468" s="229"/>
    </row>
    <row r="469" spans="5:5" ht="12.75" customHeight="1" x14ac:dyDescent="0.2">
      <c r="E469" s="229"/>
    </row>
    <row r="470" spans="5:5" ht="12.75" customHeight="1" x14ac:dyDescent="0.2">
      <c r="E470" s="229"/>
    </row>
    <row r="471" spans="5:5" ht="12.75" customHeight="1" x14ac:dyDescent="0.2">
      <c r="E471" s="229"/>
    </row>
    <row r="472" spans="5:5" ht="12.75" customHeight="1" x14ac:dyDescent="0.2">
      <c r="E472" s="229"/>
    </row>
    <row r="473" spans="5:5" ht="12.75" customHeight="1" x14ac:dyDescent="0.2">
      <c r="E473" s="229"/>
    </row>
    <row r="474" spans="5:5" ht="12.75" customHeight="1" x14ac:dyDescent="0.2">
      <c r="E474" s="229"/>
    </row>
    <row r="475" spans="5:5" ht="12.75" customHeight="1" x14ac:dyDescent="0.2">
      <c r="E475" s="229"/>
    </row>
    <row r="476" spans="5:5" ht="12.75" customHeight="1" x14ac:dyDescent="0.2">
      <c r="E476" s="229"/>
    </row>
    <row r="477" spans="5:5" ht="12.75" customHeight="1" x14ac:dyDescent="0.2">
      <c r="E477" s="229"/>
    </row>
    <row r="478" spans="5:5" ht="12.75" customHeight="1" x14ac:dyDescent="0.2">
      <c r="E478" s="229"/>
    </row>
    <row r="479" spans="5:5" ht="12.75" customHeight="1" x14ac:dyDescent="0.2">
      <c r="E479" s="229"/>
    </row>
    <row r="480" spans="5:5" ht="12.75" customHeight="1" x14ac:dyDescent="0.2">
      <c r="E480" s="229"/>
    </row>
    <row r="481" spans="5:5" ht="12.75" customHeight="1" x14ac:dyDescent="0.2">
      <c r="E481" s="229"/>
    </row>
    <row r="482" spans="5:5" ht="12.75" customHeight="1" x14ac:dyDescent="0.2">
      <c r="E482" s="229"/>
    </row>
    <row r="483" spans="5:5" ht="12.75" customHeight="1" x14ac:dyDescent="0.2">
      <c r="E483" s="229"/>
    </row>
    <row r="484" spans="5:5" ht="12.75" customHeight="1" x14ac:dyDescent="0.2">
      <c r="E484" s="229"/>
    </row>
    <row r="485" spans="5:5" ht="12.75" customHeight="1" x14ac:dyDescent="0.2">
      <c r="E485" s="229"/>
    </row>
    <row r="486" spans="5:5" ht="12.75" customHeight="1" x14ac:dyDescent="0.2">
      <c r="E486" s="229"/>
    </row>
    <row r="487" spans="5:5" ht="12.75" customHeight="1" x14ac:dyDescent="0.2">
      <c r="E487" s="229"/>
    </row>
    <row r="488" spans="5:5" ht="12.75" customHeight="1" x14ac:dyDescent="0.2">
      <c r="E488" s="229"/>
    </row>
    <row r="489" spans="5:5" ht="12.75" customHeight="1" x14ac:dyDescent="0.2">
      <c r="E489" s="229"/>
    </row>
    <row r="490" spans="5:5" ht="12.75" customHeight="1" x14ac:dyDescent="0.2">
      <c r="E490" s="229"/>
    </row>
    <row r="491" spans="5:5" ht="12.75" customHeight="1" x14ac:dyDescent="0.2">
      <c r="E491" s="229"/>
    </row>
    <row r="492" spans="5:5" ht="12.75" customHeight="1" x14ac:dyDescent="0.2">
      <c r="E492" s="229"/>
    </row>
    <row r="493" spans="5:5" ht="12.75" customHeight="1" x14ac:dyDescent="0.2">
      <c r="E493" s="229"/>
    </row>
    <row r="494" spans="5:5" ht="12.75" customHeight="1" x14ac:dyDescent="0.2">
      <c r="E494" s="229"/>
    </row>
    <row r="495" spans="5:5" ht="12.75" customHeight="1" x14ac:dyDescent="0.2">
      <c r="E495" s="229"/>
    </row>
    <row r="496" spans="5:5" ht="12.75" customHeight="1" x14ac:dyDescent="0.2">
      <c r="E496" s="229"/>
    </row>
    <row r="497" spans="5:5" ht="12.75" customHeight="1" x14ac:dyDescent="0.2">
      <c r="E497" s="229"/>
    </row>
    <row r="498" spans="5:5" ht="12.75" customHeight="1" x14ac:dyDescent="0.2">
      <c r="E498" s="229"/>
    </row>
    <row r="499" spans="5:5" ht="12.75" customHeight="1" x14ac:dyDescent="0.2">
      <c r="E499" s="229"/>
    </row>
    <row r="500" spans="5:5" ht="12.75" customHeight="1" x14ac:dyDescent="0.2">
      <c r="E500" s="229"/>
    </row>
    <row r="501" spans="5:5" ht="12.75" customHeight="1" x14ac:dyDescent="0.2">
      <c r="E501" s="229"/>
    </row>
    <row r="502" spans="5:5" ht="12.75" customHeight="1" x14ac:dyDescent="0.2">
      <c r="E502" s="229"/>
    </row>
    <row r="503" spans="5:5" ht="12.75" customHeight="1" x14ac:dyDescent="0.2">
      <c r="E503" s="229"/>
    </row>
    <row r="504" spans="5:5" ht="12.75" customHeight="1" x14ac:dyDescent="0.2">
      <c r="E504" s="229"/>
    </row>
    <row r="505" spans="5:5" ht="12.75" customHeight="1" x14ac:dyDescent="0.2">
      <c r="E505" s="229"/>
    </row>
    <row r="506" spans="5:5" ht="12.75" customHeight="1" x14ac:dyDescent="0.2">
      <c r="E506" s="229"/>
    </row>
    <row r="507" spans="5:5" ht="12.75" customHeight="1" x14ac:dyDescent="0.2">
      <c r="E507" s="229"/>
    </row>
    <row r="508" spans="5:5" ht="12.75" customHeight="1" x14ac:dyDescent="0.2">
      <c r="E508" s="229"/>
    </row>
    <row r="509" spans="5:5" ht="12.75" customHeight="1" x14ac:dyDescent="0.2">
      <c r="E509" s="229"/>
    </row>
    <row r="510" spans="5:5" ht="12.75" customHeight="1" x14ac:dyDescent="0.2">
      <c r="E510" s="229"/>
    </row>
    <row r="511" spans="5:5" ht="12.75" customHeight="1" x14ac:dyDescent="0.2">
      <c r="E511" s="229"/>
    </row>
    <row r="512" spans="5:5" ht="12.75" customHeight="1" x14ac:dyDescent="0.2">
      <c r="E512" s="229"/>
    </row>
    <row r="513" spans="5:5" ht="12.75" customHeight="1" x14ac:dyDescent="0.2">
      <c r="E513" s="229"/>
    </row>
    <row r="514" spans="5:5" ht="12.75" customHeight="1" x14ac:dyDescent="0.2">
      <c r="E514" s="229"/>
    </row>
    <row r="515" spans="5:5" ht="12.75" customHeight="1" x14ac:dyDescent="0.2">
      <c r="E515" s="229"/>
    </row>
    <row r="516" spans="5:5" ht="12.75" customHeight="1" x14ac:dyDescent="0.2">
      <c r="E516" s="229"/>
    </row>
    <row r="517" spans="5:5" ht="12.75" customHeight="1" x14ac:dyDescent="0.2">
      <c r="E517" s="229"/>
    </row>
    <row r="518" spans="5:5" ht="12.75" customHeight="1" x14ac:dyDescent="0.2">
      <c r="E518" s="229"/>
    </row>
    <row r="519" spans="5:5" ht="12.75" customHeight="1" x14ac:dyDescent="0.2">
      <c r="E519" s="229"/>
    </row>
    <row r="520" spans="5:5" ht="12.75" customHeight="1" x14ac:dyDescent="0.2">
      <c r="E520" s="229"/>
    </row>
    <row r="521" spans="5:5" ht="12.75" customHeight="1" x14ac:dyDescent="0.2">
      <c r="E521" s="229"/>
    </row>
    <row r="522" spans="5:5" ht="12.75" customHeight="1" x14ac:dyDescent="0.2">
      <c r="E522" s="229"/>
    </row>
    <row r="523" spans="5:5" ht="12.75" customHeight="1" x14ac:dyDescent="0.2">
      <c r="E523" s="229"/>
    </row>
    <row r="524" spans="5:5" ht="12.75" customHeight="1" x14ac:dyDescent="0.2">
      <c r="E524" s="229"/>
    </row>
    <row r="525" spans="5:5" ht="12.75" customHeight="1" x14ac:dyDescent="0.2">
      <c r="E525" s="229"/>
    </row>
    <row r="526" spans="5:5" ht="12.75" customHeight="1" x14ac:dyDescent="0.2">
      <c r="E526" s="229"/>
    </row>
    <row r="527" spans="5:5" ht="12.75" customHeight="1" x14ac:dyDescent="0.2">
      <c r="E527" s="229"/>
    </row>
    <row r="528" spans="5:5" ht="12.75" customHeight="1" x14ac:dyDescent="0.2">
      <c r="E528" s="229"/>
    </row>
    <row r="529" spans="5:5" ht="12.75" customHeight="1" x14ac:dyDescent="0.2">
      <c r="E529" s="229"/>
    </row>
    <row r="530" spans="5:5" ht="12.75" customHeight="1" x14ac:dyDescent="0.2">
      <c r="E530" s="229"/>
    </row>
    <row r="531" spans="5:5" ht="12.75" customHeight="1" x14ac:dyDescent="0.2">
      <c r="E531" s="229"/>
    </row>
    <row r="532" spans="5:5" ht="12.75" customHeight="1" x14ac:dyDescent="0.2">
      <c r="E532" s="229"/>
    </row>
    <row r="533" spans="5:5" ht="12.75" customHeight="1" x14ac:dyDescent="0.2">
      <c r="E533" s="229"/>
    </row>
    <row r="534" spans="5:5" ht="12.75" customHeight="1" x14ac:dyDescent="0.2">
      <c r="E534" s="229"/>
    </row>
    <row r="535" spans="5:5" ht="12.75" customHeight="1" x14ac:dyDescent="0.2">
      <c r="E535" s="229"/>
    </row>
    <row r="536" spans="5:5" ht="12.75" customHeight="1" x14ac:dyDescent="0.2">
      <c r="E536" s="229"/>
    </row>
    <row r="537" spans="5:5" ht="12.75" customHeight="1" x14ac:dyDescent="0.2">
      <c r="E537" s="229"/>
    </row>
    <row r="538" spans="5:5" ht="12.75" customHeight="1" x14ac:dyDescent="0.2">
      <c r="E538" s="229"/>
    </row>
    <row r="539" spans="5:5" ht="12.75" customHeight="1" x14ac:dyDescent="0.2">
      <c r="E539" s="229"/>
    </row>
    <row r="540" spans="5:5" ht="12.75" customHeight="1" x14ac:dyDescent="0.2">
      <c r="E540" s="229"/>
    </row>
    <row r="541" spans="5:5" ht="12.75" customHeight="1" x14ac:dyDescent="0.2">
      <c r="E541" s="229"/>
    </row>
    <row r="542" spans="5:5" ht="12.75" customHeight="1" x14ac:dyDescent="0.2">
      <c r="E542" s="229"/>
    </row>
    <row r="543" spans="5:5" ht="12.75" customHeight="1" x14ac:dyDescent="0.2">
      <c r="E543" s="229"/>
    </row>
    <row r="544" spans="5:5" ht="12.75" customHeight="1" x14ac:dyDescent="0.2">
      <c r="E544" s="229"/>
    </row>
    <row r="545" spans="5:5" ht="12.75" customHeight="1" x14ac:dyDescent="0.2">
      <c r="E545" s="229"/>
    </row>
    <row r="546" spans="5:5" ht="12.75" customHeight="1" x14ac:dyDescent="0.2">
      <c r="E546" s="229"/>
    </row>
    <row r="547" spans="5:5" ht="12.75" customHeight="1" x14ac:dyDescent="0.2">
      <c r="E547" s="229"/>
    </row>
    <row r="548" spans="5:5" ht="12.75" customHeight="1" x14ac:dyDescent="0.2">
      <c r="E548" s="229"/>
    </row>
    <row r="549" spans="5:5" ht="12.75" customHeight="1" x14ac:dyDescent="0.2">
      <c r="E549" s="229"/>
    </row>
    <row r="550" spans="5:5" ht="12.75" customHeight="1" x14ac:dyDescent="0.2">
      <c r="E550" s="229"/>
    </row>
    <row r="551" spans="5:5" ht="12.75" customHeight="1" x14ac:dyDescent="0.2">
      <c r="E551" s="229"/>
    </row>
    <row r="552" spans="5:5" ht="12.75" customHeight="1" x14ac:dyDescent="0.2">
      <c r="E552" s="229"/>
    </row>
    <row r="553" spans="5:5" ht="12.75" customHeight="1" x14ac:dyDescent="0.2">
      <c r="E553" s="229"/>
    </row>
    <row r="554" spans="5:5" ht="12.75" customHeight="1" x14ac:dyDescent="0.2">
      <c r="E554" s="229"/>
    </row>
    <row r="555" spans="5:5" ht="12.75" customHeight="1" x14ac:dyDescent="0.2">
      <c r="E555" s="229"/>
    </row>
    <row r="556" spans="5:5" ht="12.75" customHeight="1" x14ac:dyDescent="0.2">
      <c r="E556" s="229"/>
    </row>
    <row r="557" spans="5:5" ht="12.75" customHeight="1" x14ac:dyDescent="0.2">
      <c r="E557" s="229"/>
    </row>
    <row r="558" spans="5:5" ht="12.75" customHeight="1" x14ac:dyDescent="0.2">
      <c r="E558" s="229"/>
    </row>
    <row r="559" spans="5:5" ht="12.75" customHeight="1" x14ac:dyDescent="0.2">
      <c r="E559" s="229"/>
    </row>
    <row r="560" spans="5:5" ht="12.75" customHeight="1" x14ac:dyDescent="0.2">
      <c r="E560" s="229"/>
    </row>
    <row r="561" spans="5:5" ht="12.75" customHeight="1" x14ac:dyDescent="0.2">
      <c r="E561" s="229"/>
    </row>
    <row r="562" spans="5:5" ht="12.75" customHeight="1" x14ac:dyDescent="0.2">
      <c r="E562" s="229"/>
    </row>
    <row r="563" spans="5:5" ht="12.75" customHeight="1" x14ac:dyDescent="0.2">
      <c r="E563" s="229"/>
    </row>
    <row r="564" spans="5:5" ht="12.75" customHeight="1" x14ac:dyDescent="0.2">
      <c r="E564" s="229"/>
    </row>
    <row r="565" spans="5:5" ht="12.75" customHeight="1" x14ac:dyDescent="0.2">
      <c r="E565" s="229"/>
    </row>
    <row r="566" spans="5:5" ht="12.75" customHeight="1" x14ac:dyDescent="0.2">
      <c r="E566" s="229"/>
    </row>
    <row r="567" spans="5:5" ht="12.75" customHeight="1" x14ac:dyDescent="0.2">
      <c r="E567" s="229"/>
    </row>
    <row r="568" spans="5:5" ht="12.75" customHeight="1" x14ac:dyDescent="0.2">
      <c r="E568" s="229"/>
    </row>
    <row r="569" spans="5:5" ht="12.75" customHeight="1" x14ac:dyDescent="0.2">
      <c r="E569" s="229"/>
    </row>
    <row r="570" spans="5:5" ht="12.75" customHeight="1" x14ac:dyDescent="0.2">
      <c r="E570" s="229"/>
    </row>
    <row r="571" spans="5:5" ht="12.75" customHeight="1" x14ac:dyDescent="0.2">
      <c r="E571" s="229"/>
    </row>
    <row r="572" spans="5:5" ht="12.75" customHeight="1" x14ac:dyDescent="0.2">
      <c r="E572" s="229"/>
    </row>
    <row r="573" spans="5:5" ht="12.75" customHeight="1" x14ac:dyDescent="0.2">
      <c r="E573" s="229"/>
    </row>
    <row r="574" spans="5:5" ht="12.75" customHeight="1" x14ac:dyDescent="0.2">
      <c r="E574" s="229"/>
    </row>
    <row r="575" spans="5:5" ht="12.75" customHeight="1" x14ac:dyDescent="0.2">
      <c r="E575" s="229"/>
    </row>
    <row r="576" spans="5:5" ht="12.75" customHeight="1" x14ac:dyDescent="0.2">
      <c r="E576" s="229"/>
    </row>
    <row r="577" spans="5:5" ht="12.75" customHeight="1" x14ac:dyDescent="0.2">
      <c r="E577" s="229"/>
    </row>
    <row r="578" spans="5:5" ht="12.75" customHeight="1" x14ac:dyDescent="0.2">
      <c r="E578" s="229"/>
    </row>
    <row r="579" spans="5:5" ht="12.75" customHeight="1" x14ac:dyDescent="0.2">
      <c r="E579" s="229"/>
    </row>
    <row r="580" spans="5:5" ht="12.75" customHeight="1" x14ac:dyDescent="0.2">
      <c r="E580" s="229"/>
    </row>
    <row r="581" spans="5:5" ht="12.75" customHeight="1" x14ac:dyDescent="0.2">
      <c r="E581" s="229"/>
    </row>
    <row r="582" spans="5:5" ht="12.75" customHeight="1" x14ac:dyDescent="0.2">
      <c r="E582" s="229"/>
    </row>
    <row r="583" spans="5:5" ht="12.75" customHeight="1" x14ac:dyDescent="0.2">
      <c r="E583" s="229"/>
    </row>
    <row r="584" spans="5:5" ht="12.75" customHeight="1" x14ac:dyDescent="0.2">
      <c r="E584" s="229"/>
    </row>
    <row r="585" spans="5:5" ht="12.75" customHeight="1" x14ac:dyDescent="0.2">
      <c r="E585" s="229"/>
    </row>
    <row r="586" spans="5:5" ht="12.75" customHeight="1" x14ac:dyDescent="0.2">
      <c r="E586" s="229"/>
    </row>
    <row r="587" spans="5:5" ht="12.75" customHeight="1" x14ac:dyDescent="0.2">
      <c r="E587" s="229"/>
    </row>
    <row r="588" spans="5:5" ht="12.75" customHeight="1" x14ac:dyDescent="0.2">
      <c r="E588" s="229"/>
    </row>
    <row r="589" spans="5:5" ht="12.75" customHeight="1" x14ac:dyDescent="0.2">
      <c r="E589" s="229"/>
    </row>
    <row r="590" spans="5:5" ht="12.75" customHeight="1" x14ac:dyDescent="0.2">
      <c r="E590" s="229"/>
    </row>
    <row r="591" spans="5:5" ht="12.75" customHeight="1" x14ac:dyDescent="0.2">
      <c r="E591" s="229"/>
    </row>
    <row r="592" spans="5:5" ht="12.75" customHeight="1" x14ac:dyDescent="0.2">
      <c r="E592" s="229"/>
    </row>
    <row r="593" spans="5:5" ht="12.75" customHeight="1" x14ac:dyDescent="0.2">
      <c r="E593" s="229"/>
    </row>
    <row r="594" spans="5:5" ht="12.75" customHeight="1" x14ac:dyDescent="0.2">
      <c r="E594" s="229"/>
    </row>
    <row r="595" spans="5:5" ht="12.75" customHeight="1" x14ac:dyDescent="0.2">
      <c r="E595" s="229"/>
    </row>
    <row r="596" spans="5:5" ht="12.75" customHeight="1" x14ac:dyDescent="0.2">
      <c r="E596" s="229"/>
    </row>
    <row r="597" spans="5:5" ht="12.75" customHeight="1" x14ac:dyDescent="0.2">
      <c r="E597" s="229"/>
    </row>
    <row r="598" spans="5:5" ht="12.75" customHeight="1" x14ac:dyDescent="0.2">
      <c r="E598" s="229"/>
    </row>
    <row r="599" spans="5:5" ht="12.75" customHeight="1" x14ac:dyDescent="0.2">
      <c r="E599" s="229"/>
    </row>
    <row r="600" spans="5:5" ht="12.75" customHeight="1" x14ac:dyDescent="0.2">
      <c r="E600" s="229"/>
    </row>
    <row r="601" spans="5:5" ht="12.75" customHeight="1" x14ac:dyDescent="0.2">
      <c r="E601" s="229"/>
    </row>
    <row r="602" spans="5:5" ht="12.75" customHeight="1" x14ac:dyDescent="0.2">
      <c r="E602" s="229"/>
    </row>
    <row r="603" spans="5:5" ht="12.75" customHeight="1" x14ac:dyDescent="0.2">
      <c r="E603" s="229"/>
    </row>
    <row r="604" spans="5:5" ht="12.75" customHeight="1" x14ac:dyDescent="0.2">
      <c r="E604" s="229"/>
    </row>
    <row r="605" spans="5:5" ht="12.75" customHeight="1" x14ac:dyDescent="0.2">
      <c r="E605" s="229"/>
    </row>
    <row r="606" spans="5:5" ht="12.75" customHeight="1" x14ac:dyDescent="0.2">
      <c r="E606" s="229"/>
    </row>
    <row r="607" spans="5:5" ht="12.75" customHeight="1" x14ac:dyDescent="0.2">
      <c r="E607" s="229"/>
    </row>
    <row r="608" spans="5:5" ht="12.75" customHeight="1" x14ac:dyDescent="0.2">
      <c r="E608" s="229"/>
    </row>
    <row r="609" spans="5:5" ht="12.75" customHeight="1" x14ac:dyDescent="0.2">
      <c r="E609" s="229"/>
    </row>
    <row r="610" spans="5:5" ht="12.75" customHeight="1" x14ac:dyDescent="0.2">
      <c r="E610" s="229"/>
    </row>
    <row r="611" spans="5:5" ht="12.75" customHeight="1" x14ac:dyDescent="0.2">
      <c r="E611" s="229"/>
    </row>
    <row r="612" spans="5:5" ht="12.75" customHeight="1" x14ac:dyDescent="0.2">
      <c r="E612" s="229"/>
    </row>
    <row r="613" spans="5:5" ht="12.75" customHeight="1" x14ac:dyDescent="0.2">
      <c r="E613" s="229"/>
    </row>
    <row r="614" spans="5:5" ht="12.75" customHeight="1" x14ac:dyDescent="0.2">
      <c r="E614" s="229"/>
    </row>
    <row r="615" spans="5:5" ht="12.75" customHeight="1" x14ac:dyDescent="0.2">
      <c r="E615" s="229"/>
    </row>
    <row r="616" spans="5:5" ht="12.75" customHeight="1" x14ac:dyDescent="0.2">
      <c r="E616" s="229"/>
    </row>
    <row r="617" spans="5:5" ht="12.75" customHeight="1" x14ac:dyDescent="0.2">
      <c r="E617" s="229"/>
    </row>
    <row r="618" spans="5:5" ht="12.75" customHeight="1" x14ac:dyDescent="0.2">
      <c r="E618" s="229"/>
    </row>
    <row r="619" spans="5:5" ht="12.75" customHeight="1" x14ac:dyDescent="0.2">
      <c r="E619" s="229"/>
    </row>
    <row r="620" spans="5:5" ht="12.75" customHeight="1" x14ac:dyDescent="0.2">
      <c r="E620" s="229"/>
    </row>
    <row r="621" spans="5:5" ht="12.75" customHeight="1" x14ac:dyDescent="0.2">
      <c r="E621" s="229"/>
    </row>
    <row r="622" spans="5:5" ht="12.75" customHeight="1" x14ac:dyDescent="0.2">
      <c r="E622" s="229"/>
    </row>
    <row r="623" spans="5:5" ht="12.75" customHeight="1" x14ac:dyDescent="0.2">
      <c r="E623" s="229"/>
    </row>
    <row r="624" spans="5:5" ht="12.75" customHeight="1" x14ac:dyDescent="0.2">
      <c r="E624" s="229"/>
    </row>
    <row r="625" spans="5:5" ht="12.75" customHeight="1" x14ac:dyDescent="0.2">
      <c r="E625" s="229"/>
    </row>
    <row r="626" spans="5:5" ht="12.75" customHeight="1" x14ac:dyDescent="0.2">
      <c r="E626" s="229"/>
    </row>
    <row r="627" spans="5:5" ht="12.75" customHeight="1" x14ac:dyDescent="0.2">
      <c r="E627" s="229"/>
    </row>
    <row r="628" spans="5:5" ht="12.75" customHeight="1" x14ac:dyDescent="0.2">
      <c r="E628" s="229"/>
    </row>
    <row r="629" spans="5:5" ht="12.75" customHeight="1" x14ac:dyDescent="0.2">
      <c r="E629" s="229"/>
    </row>
    <row r="630" spans="5:5" ht="12.75" customHeight="1" x14ac:dyDescent="0.2">
      <c r="E630" s="229"/>
    </row>
    <row r="631" spans="5:5" ht="12.75" customHeight="1" x14ac:dyDescent="0.2">
      <c r="E631" s="229"/>
    </row>
    <row r="632" spans="5:5" ht="12.75" customHeight="1" x14ac:dyDescent="0.2">
      <c r="E632" s="229"/>
    </row>
    <row r="633" spans="5:5" ht="12.75" customHeight="1" x14ac:dyDescent="0.2">
      <c r="E633" s="229"/>
    </row>
    <row r="634" spans="5:5" ht="12.75" customHeight="1" x14ac:dyDescent="0.2">
      <c r="E634" s="229"/>
    </row>
    <row r="635" spans="5:5" ht="12.75" customHeight="1" x14ac:dyDescent="0.2">
      <c r="E635" s="229"/>
    </row>
    <row r="636" spans="5:5" ht="12.75" customHeight="1" x14ac:dyDescent="0.2">
      <c r="E636" s="229"/>
    </row>
    <row r="637" spans="5:5" ht="12.75" customHeight="1" x14ac:dyDescent="0.2">
      <c r="E637" s="229"/>
    </row>
    <row r="638" spans="5:5" ht="12.75" customHeight="1" x14ac:dyDescent="0.2">
      <c r="E638" s="229"/>
    </row>
    <row r="639" spans="5:5" ht="12.75" customHeight="1" x14ac:dyDescent="0.2">
      <c r="E639" s="229"/>
    </row>
    <row r="640" spans="5:5" ht="12.75" customHeight="1" x14ac:dyDescent="0.2">
      <c r="E640" s="229"/>
    </row>
    <row r="641" spans="5:5" ht="12.75" customHeight="1" x14ac:dyDescent="0.2">
      <c r="E641" s="229"/>
    </row>
    <row r="642" spans="5:5" ht="12.75" customHeight="1" x14ac:dyDescent="0.2">
      <c r="E642" s="229"/>
    </row>
    <row r="643" spans="5:5" ht="12.75" customHeight="1" x14ac:dyDescent="0.2">
      <c r="E643" s="229"/>
    </row>
    <row r="644" spans="5:5" ht="12.75" customHeight="1" x14ac:dyDescent="0.2">
      <c r="E644" s="229"/>
    </row>
    <row r="645" spans="5:5" ht="12.75" customHeight="1" x14ac:dyDescent="0.2">
      <c r="E645" s="229"/>
    </row>
    <row r="646" spans="5:5" ht="12.75" customHeight="1" x14ac:dyDescent="0.2">
      <c r="E646" s="229"/>
    </row>
    <row r="647" spans="5:5" ht="12.75" customHeight="1" x14ac:dyDescent="0.2">
      <c r="E647" s="229"/>
    </row>
    <row r="648" spans="5:5" ht="12.75" customHeight="1" x14ac:dyDescent="0.2">
      <c r="E648" s="229"/>
    </row>
    <row r="649" spans="5:5" ht="12.75" customHeight="1" x14ac:dyDescent="0.2">
      <c r="E649" s="229"/>
    </row>
    <row r="650" spans="5:5" ht="12.75" customHeight="1" x14ac:dyDescent="0.2">
      <c r="E650" s="229"/>
    </row>
    <row r="651" spans="5:5" ht="12.75" customHeight="1" x14ac:dyDescent="0.2">
      <c r="E651" s="229"/>
    </row>
    <row r="652" spans="5:5" ht="12.75" customHeight="1" x14ac:dyDescent="0.2">
      <c r="E652" s="229"/>
    </row>
    <row r="653" spans="5:5" ht="12.75" customHeight="1" x14ac:dyDescent="0.2">
      <c r="E653" s="229"/>
    </row>
    <row r="654" spans="5:5" ht="12.75" customHeight="1" x14ac:dyDescent="0.2">
      <c r="E654" s="229"/>
    </row>
    <row r="655" spans="5:5" ht="12.75" customHeight="1" x14ac:dyDescent="0.2">
      <c r="E655" s="229"/>
    </row>
    <row r="656" spans="5:5" ht="12.75" customHeight="1" x14ac:dyDescent="0.2">
      <c r="E656" s="229"/>
    </row>
    <row r="657" spans="5:5" ht="12.75" customHeight="1" x14ac:dyDescent="0.2">
      <c r="E657" s="229"/>
    </row>
    <row r="658" spans="5:5" ht="12.75" customHeight="1" x14ac:dyDescent="0.2">
      <c r="E658" s="229"/>
    </row>
    <row r="659" spans="5:5" ht="12.75" customHeight="1" x14ac:dyDescent="0.2">
      <c r="E659" s="229"/>
    </row>
    <row r="660" spans="5:5" ht="12.75" customHeight="1" x14ac:dyDescent="0.2">
      <c r="E660" s="229"/>
    </row>
    <row r="661" spans="5:5" ht="12.75" customHeight="1" x14ac:dyDescent="0.2">
      <c r="E661" s="229"/>
    </row>
    <row r="662" spans="5:5" ht="12.75" customHeight="1" x14ac:dyDescent="0.2">
      <c r="E662" s="229"/>
    </row>
    <row r="663" spans="5:5" ht="12.75" customHeight="1" x14ac:dyDescent="0.2">
      <c r="E663" s="229"/>
    </row>
    <row r="664" spans="5:5" ht="12.75" customHeight="1" x14ac:dyDescent="0.2">
      <c r="E664" s="229"/>
    </row>
    <row r="665" spans="5:5" ht="12.75" customHeight="1" x14ac:dyDescent="0.2">
      <c r="E665" s="229"/>
    </row>
    <row r="666" spans="5:5" ht="12.75" customHeight="1" x14ac:dyDescent="0.2">
      <c r="E666" s="229"/>
    </row>
    <row r="667" spans="5:5" ht="12.75" customHeight="1" x14ac:dyDescent="0.2">
      <c r="E667" s="229"/>
    </row>
    <row r="668" spans="5:5" ht="12.75" customHeight="1" x14ac:dyDescent="0.2">
      <c r="E668" s="229"/>
    </row>
    <row r="669" spans="5:5" ht="12.75" customHeight="1" x14ac:dyDescent="0.2">
      <c r="E669" s="229"/>
    </row>
    <row r="670" spans="5:5" ht="12.75" customHeight="1" x14ac:dyDescent="0.2">
      <c r="E670" s="229"/>
    </row>
    <row r="671" spans="5:5" ht="12.75" customHeight="1" x14ac:dyDescent="0.2">
      <c r="E671" s="229"/>
    </row>
    <row r="672" spans="5:5" ht="12.75" customHeight="1" x14ac:dyDescent="0.2">
      <c r="E672" s="229"/>
    </row>
    <row r="673" spans="5:5" ht="12.75" customHeight="1" x14ac:dyDescent="0.2">
      <c r="E673" s="229"/>
    </row>
    <row r="674" spans="5:5" ht="12.75" customHeight="1" x14ac:dyDescent="0.2">
      <c r="E674" s="229"/>
    </row>
    <row r="675" spans="5:5" ht="12.75" customHeight="1" x14ac:dyDescent="0.2">
      <c r="E675" s="229"/>
    </row>
    <row r="676" spans="5:5" ht="12.75" customHeight="1" x14ac:dyDescent="0.2">
      <c r="E676" s="229"/>
    </row>
    <row r="677" spans="5:5" ht="12.75" customHeight="1" x14ac:dyDescent="0.2">
      <c r="E677" s="229"/>
    </row>
    <row r="678" spans="5:5" ht="12.75" customHeight="1" x14ac:dyDescent="0.2">
      <c r="E678" s="229"/>
    </row>
    <row r="679" spans="5:5" ht="12.75" customHeight="1" x14ac:dyDescent="0.2">
      <c r="E679" s="229"/>
    </row>
    <row r="680" spans="5:5" ht="12.75" customHeight="1" x14ac:dyDescent="0.2">
      <c r="E680" s="229"/>
    </row>
    <row r="681" spans="5:5" ht="12.75" customHeight="1" x14ac:dyDescent="0.2">
      <c r="E681" s="229"/>
    </row>
    <row r="682" spans="5:5" ht="12.75" customHeight="1" x14ac:dyDescent="0.2">
      <c r="E682" s="229"/>
    </row>
    <row r="683" spans="5:5" ht="12.75" customHeight="1" x14ac:dyDescent="0.2">
      <c r="E683" s="229"/>
    </row>
    <row r="684" spans="5:5" ht="12.75" customHeight="1" x14ac:dyDescent="0.2">
      <c r="E684" s="229"/>
    </row>
    <row r="685" spans="5:5" ht="12.75" customHeight="1" x14ac:dyDescent="0.2">
      <c r="E685" s="229"/>
    </row>
    <row r="686" spans="5:5" ht="12.75" customHeight="1" x14ac:dyDescent="0.2">
      <c r="E686" s="229"/>
    </row>
    <row r="687" spans="5:5" ht="12.75" customHeight="1" x14ac:dyDescent="0.2">
      <c r="E687" s="229"/>
    </row>
    <row r="688" spans="5:5" ht="12.75" customHeight="1" x14ac:dyDescent="0.2">
      <c r="E688" s="229"/>
    </row>
    <row r="689" spans="5:5" ht="12.75" customHeight="1" x14ac:dyDescent="0.2">
      <c r="E689" s="229"/>
    </row>
    <row r="690" spans="5:5" ht="12.75" customHeight="1" x14ac:dyDescent="0.2">
      <c r="E690" s="229"/>
    </row>
    <row r="691" spans="5:5" ht="12.75" customHeight="1" x14ac:dyDescent="0.2">
      <c r="E691" s="229"/>
    </row>
    <row r="692" spans="5:5" ht="12.75" customHeight="1" x14ac:dyDescent="0.2">
      <c r="E692" s="229"/>
    </row>
    <row r="693" spans="5:5" ht="12.75" customHeight="1" x14ac:dyDescent="0.2">
      <c r="E693" s="229"/>
    </row>
    <row r="694" spans="5:5" ht="12.75" customHeight="1" x14ac:dyDescent="0.2">
      <c r="E694" s="229"/>
    </row>
    <row r="695" spans="5:5" ht="12.75" customHeight="1" x14ac:dyDescent="0.2">
      <c r="E695" s="229"/>
    </row>
    <row r="696" spans="5:5" ht="12.75" customHeight="1" x14ac:dyDescent="0.2">
      <c r="E696" s="229"/>
    </row>
    <row r="697" spans="5:5" ht="12.75" customHeight="1" x14ac:dyDescent="0.2">
      <c r="E697" s="229"/>
    </row>
    <row r="698" spans="5:5" ht="12.75" customHeight="1" x14ac:dyDescent="0.2">
      <c r="E698" s="229"/>
    </row>
    <row r="699" spans="5:5" ht="12.75" customHeight="1" x14ac:dyDescent="0.2">
      <c r="E699" s="229"/>
    </row>
    <row r="700" spans="5:5" ht="12.75" customHeight="1" x14ac:dyDescent="0.2">
      <c r="E700" s="229"/>
    </row>
    <row r="701" spans="5:5" ht="12.75" customHeight="1" x14ac:dyDescent="0.2">
      <c r="E701" s="229"/>
    </row>
    <row r="702" spans="5:5" ht="12.75" customHeight="1" x14ac:dyDescent="0.2">
      <c r="E702" s="229"/>
    </row>
    <row r="703" spans="5:5" ht="12.75" customHeight="1" x14ac:dyDescent="0.2">
      <c r="E703" s="229"/>
    </row>
    <row r="704" spans="5:5" ht="12.75" customHeight="1" x14ac:dyDescent="0.2">
      <c r="E704" s="229"/>
    </row>
    <row r="705" spans="5:5" ht="12.75" customHeight="1" x14ac:dyDescent="0.2">
      <c r="E705" s="229"/>
    </row>
    <row r="706" spans="5:5" ht="12.75" customHeight="1" x14ac:dyDescent="0.2">
      <c r="E706" s="229"/>
    </row>
    <row r="707" spans="5:5" ht="12.75" customHeight="1" x14ac:dyDescent="0.2">
      <c r="E707" s="229"/>
    </row>
    <row r="708" spans="5:5" ht="12.75" customHeight="1" x14ac:dyDescent="0.2">
      <c r="E708" s="229"/>
    </row>
    <row r="709" spans="5:5" ht="12.75" customHeight="1" x14ac:dyDescent="0.2">
      <c r="E709" s="229"/>
    </row>
    <row r="710" spans="5:5" ht="12.75" customHeight="1" x14ac:dyDescent="0.2">
      <c r="E710" s="229"/>
    </row>
    <row r="711" spans="5:5" ht="12.75" customHeight="1" x14ac:dyDescent="0.2">
      <c r="E711" s="229"/>
    </row>
    <row r="712" spans="5:5" ht="12.75" customHeight="1" x14ac:dyDescent="0.2">
      <c r="E712" s="229"/>
    </row>
    <row r="713" spans="5:5" ht="12.75" customHeight="1" x14ac:dyDescent="0.2">
      <c r="E713" s="229"/>
    </row>
    <row r="714" spans="5:5" ht="12.75" customHeight="1" x14ac:dyDescent="0.2">
      <c r="E714" s="229"/>
    </row>
    <row r="715" spans="5:5" ht="12.75" customHeight="1" x14ac:dyDescent="0.2">
      <c r="E715" s="229"/>
    </row>
    <row r="716" spans="5:5" ht="12.75" customHeight="1" x14ac:dyDescent="0.2">
      <c r="E716" s="229"/>
    </row>
    <row r="717" spans="5:5" ht="12.75" customHeight="1" x14ac:dyDescent="0.2">
      <c r="E717" s="229"/>
    </row>
    <row r="718" spans="5:5" ht="12.75" customHeight="1" x14ac:dyDescent="0.2">
      <c r="E718" s="229"/>
    </row>
    <row r="719" spans="5:5" ht="12.75" customHeight="1" x14ac:dyDescent="0.2">
      <c r="E719" s="229"/>
    </row>
    <row r="720" spans="5:5" ht="12.75" customHeight="1" x14ac:dyDescent="0.2">
      <c r="E720" s="229"/>
    </row>
    <row r="721" spans="5:5" ht="12.75" customHeight="1" x14ac:dyDescent="0.2">
      <c r="E721" s="229"/>
    </row>
    <row r="722" spans="5:5" ht="12.75" customHeight="1" x14ac:dyDescent="0.2">
      <c r="E722" s="229"/>
    </row>
    <row r="723" spans="5:5" ht="12.75" customHeight="1" x14ac:dyDescent="0.2">
      <c r="E723" s="229"/>
    </row>
    <row r="724" spans="5:5" ht="12.75" customHeight="1" x14ac:dyDescent="0.2">
      <c r="E724" s="229"/>
    </row>
    <row r="725" spans="5:5" ht="12.75" customHeight="1" x14ac:dyDescent="0.2">
      <c r="E725" s="229"/>
    </row>
    <row r="726" spans="5:5" ht="12.75" customHeight="1" x14ac:dyDescent="0.2">
      <c r="E726" s="229"/>
    </row>
    <row r="727" spans="5:5" ht="12.75" customHeight="1" x14ac:dyDescent="0.2">
      <c r="E727" s="229"/>
    </row>
    <row r="728" spans="5:5" ht="12.75" customHeight="1" x14ac:dyDescent="0.2">
      <c r="E728" s="229"/>
    </row>
    <row r="729" spans="5:5" ht="12.75" customHeight="1" x14ac:dyDescent="0.2">
      <c r="E729" s="229"/>
    </row>
    <row r="730" spans="5:5" ht="12.75" customHeight="1" x14ac:dyDescent="0.2">
      <c r="E730" s="229"/>
    </row>
    <row r="731" spans="5:5" ht="12.75" customHeight="1" x14ac:dyDescent="0.2">
      <c r="E731" s="229"/>
    </row>
    <row r="732" spans="5:5" ht="12.75" customHeight="1" x14ac:dyDescent="0.2">
      <c r="E732" s="229"/>
    </row>
    <row r="733" spans="5:5" ht="12.75" customHeight="1" x14ac:dyDescent="0.2">
      <c r="E733" s="229"/>
    </row>
    <row r="734" spans="5:5" ht="12.75" customHeight="1" x14ac:dyDescent="0.2">
      <c r="E734" s="229"/>
    </row>
    <row r="735" spans="5:5" ht="12.75" customHeight="1" x14ac:dyDescent="0.2">
      <c r="E735" s="229"/>
    </row>
    <row r="736" spans="5:5" ht="12.75" customHeight="1" x14ac:dyDescent="0.2">
      <c r="E736" s="229"/>
    </row>
    <row r="737" spans="5:5" ht="12.75" customHeight="1" x14ac:dyDescent="0.2">
      <c r="E737" s="229"/>
    </row>
    <row r="738" spans="5:5" ht="12.75" customHeight="1" x14ac:dyDescent="0.2">
      <c r="E738" s="229"/>
    </row>
    <row r="739" spans="5:5" ht="12.75" customHeight="1" x14ac:dyDescent="0.2">
      <c r="E739" s="229"/>
    </row>
    <row r="740" spans="5:5" ht="12.75" customHeight="1" x14ac:dyDescent="0.2">
      <c r="E740" s="229"/>
    </row>
    <row r="741" spans="5:5" ht="12.75" customHeight="1" x14ac:dyDescent="0.2">
      <c r="E741" s="229"/>
    </row>
    <row r="742" spans="5:5" ht="12.75" customHeight="1" x14ac:dyDescent="0.2">
      <c r="E742" s="229"/>
    </row>
    <row r="743" spans="5:5" ht="12.75" customHeight="1" x14ac:dyDescent="0.2">
      <c r="E743" s="229"/>
    </row>
    <row r="744" spans="5:5" ht="12.75" customHeight="1" x14ac:dyDescent="0.2">
      <c r="E744" s="229"/>
    </row>
    <row r="745" spans="5:5" ht="12.75" customHeight="1" x14ac:dyDescent="0.2">
      <c r="E745" s="229"/>
    </row>
    <row r="746" spans="5:5" ht="12.75" customHeight="1" x14ac:dyDescent="0.2">
      <c r="E746" s="229"/>
    </row>
    <row r="747" spans="5:5" ht="12.75" customHeight="1" x14ac:dyDescent="0.2">
      <c r="E747" s="229"/>
    </row>
    <row r="748" spans="5:5" ht="12.75" customHeight="1" x14ac:dyDescent="0.2">
      <c r="E748" s="229"/>
    </row>
    <row r="749" spans="5:5" ht="12.75" customHeight="1" x14ac:dyDescent="0.2">
      <c r="E749" s="229"/>
    </row>
    <row r="750" spans="5:5" ht="12.75" customHeight="1" x14ac:dyDescent="0.2">
      <c r="E750" s="229"/>
    </row>
    <row r="751" spans="5:5" ht="12.75" customHeight="1" x14ac:dyDescent="0.2">
      <c r="E751" s="229"/>
    </row>
    <row r="752" spans="5:5" ht="12.75" customHeight="1" x14ac:dyDescent="0.2">
      <c r="E752" s="229"/>
    </row>
    <row r="753" spans="5:5" ht="12.75" customHeight="1" x14ac:dyDescent="0.2">
      <c r="E753" s="229"/>
    </row>
    <row r="754" spans="5:5" ht="12.75" customHeight="1" x14ac:dyDescent="0.2">
      <c r="E754" s="229"/>
    </row>
    <row r="755" spans="5:5" ht="12.75" customHeight="1" x14ac:dyDescent="0.2">
      <c r="E755" s="229"/>
    </row>
    <row r="756" spans="5:5" ht="12.75" customHeight="1" x14ac:dyDescent="0.2">
      <c r="E756" s="229"/>
    </row>
    <row r="757" spans="5:5" ht="12.75" customHeight="1" x14ac:dyDescent="0.2">
      <c r="E757" s="229"/>
    </row>
    <row r="758" spans="5:5" ht="12.75" customHeight="1" x14ac:dyDescent="0.2">
      <c r="E758" s="229"/>
    </row>
    <row r="759" spans="5:5" ht="12.75" customHeight="1" x14ac:dyDescent="0.2">
      <c r="E759" s="229"/>
    </row>
    <row r="760" spans="5:5" ht="12.75" customHeight="1" x14ac:dyDescent="0.2">
      <c r="E760" s="229"/>
    </row>
    <row r="761" spans="5:5" ht="12.75" customHeight="1" x14ac:dyDescent="0.2">
      <c r="E761" s="229"/>
    </row>
    <row r="762" spans="5:5" ht="12.75" customHeight="1" x14ac:dyDescent="0.2">
      <c r="E762" s="229"/>
    </row>
    <row r="763" spans="5:5" ht="12.75" customHeight="1" x14ac:dyDescent="0.2">
      <c r="E763" s="229"/>
    </row>
    <row r="764" spans="5:5" ht="12.75" customHeight="1" x14ac:dyDescent="0.2">
      <c r="E764" s="229"/>
    </row>
    <row r="765" spans="5:5" ht="12.75" customHeight="1" x14ac:dyDescent="0.2">
      <c r="E765" s="229"/>
    </row>
    <row r="766" spans="5:5" ht="12.75" customHeight="1" x14ac:dyDescent="0.2">
      <c r="E766" s="229"/>
    </row>
    <row r="767" spans="5:5" ht="12.75" customHeight="1" x14ac:dyDescent="0.2">
      <c r="E767" s="229"/>
    </row>
    <row r="768" spans="5:5" ht="12.75" customHeight="1" x14ac:dyDescent="0.2">
      <c r="E768" s="229"/>
    </row>
    <row r="769" spans="5:5" ht="12.75" customHeight="1" x14ac:dyDescent="0.2">
      <c r="E769" s="229"/>
    </row>
    <row r="770" spans="5:5" ht="12.75" customHeight="1" x14ac:dyDescent="0.2">
      <c r="E770" s="229"/>
    </row>
    <row r="771" spans="5:5" ht="12.75" customHeight="1" x14ac:dyDescent="0.2">
      <c r="E771" s="229"/>
    </row>
    <row r="772" spans="5:5" ht="12.75" customHeight="1" x14ac:dyDescent="0.2">
      <c r="E772" s="229"/>
    </row>
    <row r="773" spans="5:5" ht="12.75" customHeight="1" x14ac:dyDescent="0.2">
      <c r="E773" s="229"/>
    </row>
    <row r="774" spans="5:5" ht="12.75" customHeight="1" x14ac:dyDescent="0.2">
      <c r="E774" s="229"/>
    </row>
    <row r="775" spans="5:5" ht="12.75" customHeight="1" x14ac:dyDescent="0.2">
      <c r="E775" s="229"/>
    </row>
    <row r="776" spans="5:5" ht="12.75" customHeight="1" x14ac:dyDescent="0.2">
      <c r="E776" s="229"/>
    </row>
    <row r="777" spans="5:5" ht="12.75" customHeight="1" x14ac:dyDescent="0.2">
      <c r="E777" s="229"/>
    </row>
    <row r="778" spans="5:5" ht="12.75" customHeight="1" x14ac:dyDescent="0.2">
      <c r="E778" s="229"/>
    </row>
    <row r="779" spans="5:5" ht="12.75" customHeight="1" x14ac:dyDescent="0.2">
      <c r="E779" s="229"/>
    </row>
    <row r="780" spans="5:5" ht="12.75" customHeight="1" x14ac:dyDescent="0.2">
      <c r="E780" s="229"/>
    </row>
    <row r="781" spans="5:5" ht="12.75" customHeight="1" x14ac:dyDescent="0.2">
      <c r="E781" s="229"/>
    </row>
    <row r="782" spans="5:5" ht="12.75" customHeight="1" x14ac:dyDescent="0.2">
      <c r="E782" s="229"/>
    </row>
    <row r="783" spans="5:5" ht="12.75" customHeight="1" x14ac:dyDescent="0.2">
      <c r="E783" s="229"/>
    </row>
    <row r="784" spans="5:5" ht="12.75" customHeight="1" x14ac:dyDescent="0.2">
      <c r="E784" s="229"/>
    </row>
    <row r="785" spans="5:5" ht="12.75" customHeight="1" x14ac:dyDescent="0.2">
      <c r="E785" s="229"/>
    </row>
    <row r="786" spans="5:5" ht="12.75" customHeight="1" x14ac:dyDescent="0.2">
      <c r="E786" s="229"/>
    </row>
    <row r="787" spans="5:5" ht="12.75" customHeight="1" x14ac:dyDescent="0.2">
      <c r="E787" s="229"/>
    </row>
    <row r="788" spans="5:5" ht="12.75" customHeight="1" x14ac:dyDescent="0.2">
      <c r="E788" s="229"/>
    </row>
    <row r="789" spans="5:5" ht="12.75" customHeight="1" x14ac:dyDescent="0.2">
      <c r="E789" s="229"/>
    </row>
    <row r="790" spans="5:5" ht="12.75" customHeight="1" x14ac:dyDescent="0.2">
      <c r="E790" s="229"/>
    </row>
    <row r="791" spans="5:5" ht="12.75" customHeight="1" x14ac:dyDescent="0.2">
      <c r="E791" s="229"/>
    </row>
    <row r="792" spans="5:5" ht="12.75" customHeight="1" x14ac:dyDescent="0.2">
      <c r="E792" s="229"/>
    </row>
    <row r="793" spans="5:5" ht="12.75" customHeight="1" x14ac:dyDescent="0.2">
      <c r="E793" s="229"/>
    </row>
    <row r="794" spans="5:5" ht="12.75" customHeight="1" x14ac:dyDescent="0.2">
      <c r="E794" s="229"/>
    </row>
    <row r="795" spans="5:5" ht="12.75" customHeight="1" x14ac:dyDescent="0.2">
      <c r="E795" s="229"/>
    </row>
    <row r="796" spans="5:5" ht="12.75" customHeight="1" x14ac:dyDescent="0.2">
      <c r="E796" s="229"/>
    </row>
    <row r="797" spans="5:5" ht="12.75" customHeight="1" x14ac:dyDescent="0.2">
      <c r="E797" s="229"/>
    </row>
    <row r="798" spans="5:5" ht="12.75" customHeight="1" x14ac:dyDescent="0.2">
      <c r="E798" s="229"/>
    </row>
    <row r="799" spans="5:5" ht="12.75" customHeight="1" x14ac:dyDescent="0.2">
      <c r="E799" s="229"/>
    </row>
    <row r="800" spans="5:5" ht="12.75" customHeight="1" x14ac:dyDescent="0.2">
      <c r="E800" s="229"/>
    </row>
    <row r="801" spans="5:5" ht="12.75" customHeight="1" x14ac:dyDescent="0.2">
      <c r="E801" s="229"/>
    </row>
    <row r="802" spans="5:5" ht="12.75" customHeight="1" x14ac:dyDescent="0.2">
      <c r="E802" s="229"/>
    </row>
    <row r="803" spans="5:5" ht="12.75" customHeight="1" x14ac:dyDescent="0.2">
      <c r="E803" s="229"/>
    </row>
    <row r="804" spans="5:5" ht="12.75" customHeight="1" x14ac:dyDescent="0.2">
      <c r="E804" s="229"/>
    </row>
    <row r="805" spans="5:5" ht="12.75" customHeight="1" x14ac:dyDescent="0.2">
      <c r="E805" s="229"/>
    </row>
    <row r="806" spans="5:5" ht="12.75" customHeight="1" x14ac:dyDescent="0.2">
      <c r="E806" s="229"/>
    </row>
    <row r="807" spans="5:5" ht="12.75" customHeight="1" x14ac:dyDescent="0.2">
      <c r="E807" s="229"/>
    </row>
    <row r="808" spans="5:5" ht="12.75" customHeight="1" x14ac:dyDescent="0.2">
      <c r="E808" s="229"/>
    </row>
    <row r="809" spans="5:5" ht="12.75" customHeight="1" x14ac:dyDescent="0.2">
      <c r="E809" s="229"/>
    </row>
    <row r="810" spans="5:5" ht="12.75" customHeight="1" x14ac:dyDescent="0.2">
      <c r="E810" s="229"/>
    </row>
    <row r="811" spans="5:5" ht="12.75" customHeight="1" x14ac:dyDescent="0.2">
      <c r="E811" s="229"/>
    </row>
    <row r="812" spans="5:5" ht="12.75" customHeight="1" x14ac:dyDescent="0.2">
      <c r="E812" s="229"/>
    </row>
    <row r="813" spans="5:5" ht="12.75" customHeight="1" x14ac:dyDescent="0.2">
      <c r="E813" s="229"/>
    </row>
    <row r="814" spans="5:5" ht="12.75" customHeight="1" x14ac:dyDescent="0.2">
      <c r="E814" s="229"/>
    </row>
    <row r="815" spans="5:5" ht="12.75" customHeight="1" x14ac:dyDescent="0.2">
      <c r="E815" s="229"/>
    </row>
    <row r="816" spans="5:5" ht="12.75" customHeight="1" x14ac:dyDescent="0.2">
      <c r="E816" s="229"/>
    </row>
    <row r="817" spans="5:5" ht="12.75" customHeight="1" x14ac:dyDescent="0.2">
      <c r="E817" s="229"/>
    </row>
    <row r="818" spans="5:5" ht="12.75" customHeight="1" x14ac:dyDescent="0.2">
      <c r="E818" s="229"/>
    </row>
    <row r="819" spans="5:5" ht="12.75" customHeight="1" x14ac:dyDescent="0.2">
      <c r="E819" s="229"/>
    </row>
    <row r="820" spans="5:5" ht="12.75" customHeight="1" x14ac:dyDescent="0.2">
      <c r="E820" s="229"/>
    </row>
    <row r="821" spans="5:5" ht="12.75" customHeight="1" x14ac:dyDescent="0.2">
      <c r="E821" s="229"/>
    </row>
    <row r="822" spans="5:5" ht="12.75" customHeight="1" x14ac:dyDescent="0.2">
      <c r="E822" s="229"/>
    </row>
    <row r="823" spans="5:5" ht="12.75" customHeight="1" x14ac:dyDescent="0.2">
      <c r="E823" s="229"/>
    </row>
    <row r="824" spans="5:5" ht="12.75" customHeight="1" x14ac:dyDescent="0.2">
      <c r="E824" s="229"/>
    </row>
    <row r="825" spans="5:5" ht="12.75" customHeight="1" x14ac:dyDescent="0.2">
      <c r="E825" s="229"/>
    </row>
    <row r="826" spans="5:5" ht="12.75" customHeight="1" x14ac:dyDescent="0.2">
      <c r="E826" s="229"/>
    </row>
    <row r="827" spans="5:5" ht="12.75" customHeight="1" x14ac:dyDescent="0.2">
      <c r="E827" s="229"/>
    </row>
    <row r="828" spans="5:5" ht="12.75" customHeight="1" x14ac:dyDescent="0.2">
      <c r="E828" s="229"/>
    </row>
    <row r="829" spans="5:5" ht="12.75" customHeight="1" x14ac:dyDescent="0.2">
      <c r="E829" s="229"/>
    </row>
    <row r="830" spans="5:5" ht="12.75" customHeight="1" x14ac:dyDescent="0.2">
      <c r="E830" s="229"/>
    </row>
    <row r="831" spans="5:5" ht="12.75" customHeight="1" x14ac:dyDescent="0.2">
      <c r="E831" s="229"/>
    </row>
    <row r="832" spans="5:5" ht="12.75" customHeight="1" x14ac:dyDescent="0.2">
      <c r="E832" s="229"/>
    </row>
    <row r="833" spans="5:5" ht="12.75" customHeight="1" x14ac:dyDescent="0.2">
      <c r="E833" s="229"/>
    </row>
    <row r="834" spans="5:5" ht="12.75" customHeight="1" x14ac:dyDescent="0.2">
      <c r="E834" s="229"/>
    </row>
    <row r="835" spans="5:5" ht="12.75" customHeight="1" x14ac:dyDescent="0.2">
      <c r="E835" s="229"/>
    </row>
    <row r="836" spans="5:5" ht="12.75" customHeight="1" x14ac:dyDescent="0.2">
      <c r="E836" s="229"/>
    </row>
    <row r="837" spans="5:5" ht="12.75" customHeight="1" x14ac:dyDescent="0.2">
      <c r="E837" s="229"/>
    </row>
    <row r="838" spans="5:5" ht="12.75" customHeight="1" x14ac:dyDescent="0.2">
      <c r="E838" s="229"/>
    </row>
    <row r="839" spans="5:5" ht="12.75" customHeight="1" x14ac:dyDescent="0.2">
      <c r="E839" s="229"/>
    </row>
    <row r="840" spans="5:5" ht="12.75" customHeight="1" x14ac:dyDescent="0.2">
      <c r="E840" s="229"/>
    </row>
    <row r="841" spans="5:5" ht="12.75" customHeight="1" x14ac:dyDescent="0.2">
      <c r="E841" s="229"/>
    </row>
    <row r="842" spans="5:5" ht="12.75" customHeight="1" x14ac:dyDescent="0.2">
      <c r="E842" s="229"/>
    </row>
    <row r="843" spans="5:5" ht="12.75" customHeight="1" x14ac:dyDescent="0.2">
      <c r="E843" s="229"/>
    </row>
    <row r="844" spans="5:5" ht="12.75" customHeight="1" x14ac:dyDescent="0.2">
      <c r="E844" s="229"/>
    </row>
    <row r="845" spans="5:5" ht="12.75" customHeight="1" x14ac:dyDescent="0.2">
      <c r="E845" s="229"/>
    </row>
    <row r="846" spans="5:5" ht="12.75" customHeight="1" x14ac:dyDescent="0.2">
      <c r="E846" s="229"/>
    </row>
    <row r="847" spans="5:5" ht="12.75" customHeight="1" x14ac:dyDescent="0.2">
      <c r="E847" s="229"/>
    </row>
    <row r="848" spans="5:5" ht="12.75" customHeight="1" x14ac:dyDescent="0.2">
      <c r="E848" s="229"/>
    </row>
    <row r="849" spans="5:5" ht="12.75" customHeight="1" x14ac:dyDescent="0.2">
      <c r="E849" s="229"/>
    </row>
    <row r="850" spans="5:5" ht="12.75" customHeight="1" x14ac:dyDescent="0.2">
      <c r="E850" s="229"/>
    </row>
    <row r="851" spans="5:5" ht="12.75" customHeight="1" x14ac:dyDescent="0.2">
      <c r="E851" s="229"/>
    </row>
    <row r="852" spans="5:5" ht="12.75" customHeight="1" x14ac:dyDescent="0.2">
      <c r="E852" s="229"/>
    </row>
    <row r="853" spans="5:5" ht="12.75" customHeight="1" x14ac:dyDescent="0.2">
      <c r="E853" s="229"/>
    </row>
    <row r="854" spans="5:5" ht="12.75" customHeight="1" x14ac:dyDescent="0.2">
      <c r="E854" s="229"/>
    </row>
    <row r="855" spans="5:5" ht="12.75" customHeight="1" x14ac:dyDescent="0.2">
      <c r="E855" s="229"/>
    </row>
    <row r="856" spans="5:5" ht="12.75" customHeight="1" x14ac:dyDescent="0.2">
      <c r="E856" s="229"/>
    </row>
    <row r="857" spans="5:5" ht="12.75" customHeight="1" x14ac:dyDescent="0.2">
      <c r="E857" s="229"/>
    </row>
    <row r="858" spans="5:5" ht="12.75" customHeight="1" x14ac:dyDescent="0.2">
      <c r="E858" s="229"/>
    </row>
    <row r="859" spans="5:5" ht="12.75" customHeight="1" x14ac:dyDescent="0.2">
      <c r="E859" s="229"/>
    </row>
    <row r="860" spans="5:5" ht="12.75" customHeight="1" x14ac:dyDescent="0.2">
      <c r="E860" s="229"/>
    </row>
    <row r="861" spans="5:5" ht="12.75" customHeight="1" x14ac:dyDescent="0.2">
      <c r="E861" s="229"/>
    </row>
    <row r="862" spans="5:5" ht="12.75" customHeight="1" x14ac:dyDescent="0.2">
      <c r="E862" s="229"/>
    </row>
    <row r="863" spans="5:5" ht="12.75" customHeight="1" x14ac:dyDescent="0.2">
      <c r="E863" s="229"/>
    </row>
    <row r="864" spans="5:5" ht="12.75" customHeight="1" x14ac:dyDescent="0.2">
      <c r="E864" s="229"/>
    </row>
    <row r="865" spans="5:5" ht="12.75" customHeight="1" x14ac:dyDescent="0.2">
      <c r="E865" s="229"/>
    </row>
    <row r="866" spans="5:5" ht="12.75" customHeight="1" x14ac:dyDescent="0.2">
      <c r="E866" s="229"/>
    </row>
    <row r="867" spans="5:5" ht="12.75" customHeight="1" x14ac:dyDescent="0.2">
      <c r="E867" s="229"/>
    </row>
    <row r="868" spans="5:5" ht="12.75" customHeight="1" x14ac:dyDescent="0.2">
      <c r="E868" s="229"/>
    </row>
    <row r="869" spans="5:5" ht="12.75" customHeight="1" x14ac:dyDescent="0.2">
      <c r="E869" s="229"/>
    </row>
    <row r="870" spans="5:5" ht="12.75" customHeight="1" x14ac:dyDescent="0.2">
      <c r="E870" s="229"/>
    </row>
    <row r="871" spans="5:5" ht="12.75" customHeight="1" x14ac:dyDescent="0.2">
      <c r="E871" s="229"/>
    </row>
    <row r="872" spans="5:5" ht="12.75" customHeight="1" x14ac:dyDescent="0.2">
      <c r="E872" s="229"/>
    </row>
    <row r="873" spans="5:5" ht="12.75" customHeight="1" x14ac:dyDescent="0.2">
      <c r="E873" s="229"/>
    </row>
    <row r="874" spans="5:5" ht="12.75" customHeight="1" x14ac:dyDescent="0.2">
      <c r="E874" s="229"/>
    </row>
    <row r="875" spans="5:5" ht="12.75" customHeight="1" x14ac:dyDescent="0.2">
      <c r="E875" s="229"/>
    </row>
    <row r="876" spans="5:5" ht="12.75" customHeight="1" x14ac:dyDescent="0.2">
      <c r="E876" s="229"/>
    </row>
    <row r="877" spans="5:5" ht="12.75" customHeight="1" x14ac:dyDescent="0.2">
      <c r="E877" s="229"/>
    </row>
    <row r="878" spans="5:5" ht="12.75" customHeight="1" x14ac:dyDescent="0.2">
      <c r="E878" s="229"/>
    </row>
    <row r="879" spans="5:5" ht="12.75" customHeight="1" x14ac:dyDescent="0.2">
      <c r="E879" s="229"/>
    </row>
    <row r="880" spans="5:5" ht="12.75" customHeight="1" x14ac:dyDescent="0.2">
      <c r="E880" s="229"/>
    </row>
    <row r="881" spans="5:5" ht="12.75" customHeight="1" x14ac:dyDescent="0.2">
      <c r="E881" s="229"/>
    </row>
    <row r="882" spans="5:5" ht="12.75" customHeight="1" x14ac:dyDescent="0.2">
      <c r="E882" s="229"/>
    </row>
    <row r="883" spans="5:5" ht="12.75" customHeight="1" x14ac:dyDescent="0.2">
      <c r="E883" s="229"/>
    </row>
    <row r="884" spans="5:5" ht="12.75" customHeight="1" x14ac:dyDescent="0.2">
      <c r="E884" s="229"/>
    </row>
    <row r="885" spans="5:5" ht="12.75" customHeight="1" x14ac:dyDescent="0.2">
      <c r="E885" s="229"/>
    </row>
    <row r="886" spans="5:5" ht="12.75" customHeight="1" x14ac:dyDescent="0.2">
      <c r="E886" s="229"/>
    </row>
    <row r="887" spans="5:5" ht="12.75" customHeight="1" x14ac:dyDescent="0.2">
      <c r="E887" s="229"/>
    </row>
    <row r="888" spans="5:5" ht="12.75" customHeight="1" x14ac:dyDescent="0.2">
      <c r="E888" s="229"/>
    </row>
    <row r="889" spans="5:5" ht="12.75" customHeight="1" x14ac:dyDescent="0.2">
      <c r="E889" s="229"/>
    </row>
    <row r="890" spans="5:5" ht="12.75" customHeight="1" x14ac:dyDescent="0.2">
      <c r="E890" s="229"/>
    </row>
    <row r="891" spans="5:5" ht="12.75" customHeight="1" x14ac:dyDescent="0.2">
      <c r="E891" s="229"/>
    </row>
    <row r="892" spans="5:5" ht="12.75" customHeight="1" x14ac:dyDescent="0.2">
      <c r="E892" s="229"/>
    </row>
    <row r="893" spans="5:5" ht="12.75" customHeight="1" x14ac:dyDescent="0.2">
      <c r="E893" s="229"/>
    </row>
    <row r="894" spans="5:5" ht="12.75" customHeight="1" x14ac:dyDescent="0.2">
      <c r="E894" s="229"/>
    </row>
    <row r="895" spans="5:5" ht="12.75" customHeight="1" x14ac:dyDescent="0.2">
      <c r="E895" s="229"/>
    </row>
    <row r="896" spans="5:5" ht="12.75" customHeight="1" x14ac:dyDescent="0.2">
      <c r="E896" s="229"/>
    </row>
    <row r="897" spans="5:5" ht="12.75" customHeight="1" x14ac:dyDescent="0.2">
      <c r="E897" s="229"/>
    </row>
    <row r="898" spans="5:5" ht="12.75" customHeight="1" x14ac:dyDescent="0.2">
      <c r="E898" s="229"/>
    </row>
    <row r="899" spans="5:5" ht="12.75" customHeight="1" x14ac:dyDescent="0.2">
      <c r="E899" s="229"/>
    </row>
    <row r="900" spans="5:5" ht="12.75" customHeight="1" x14ac:dyDescent="0.2">
      <c r="E900" s="229"/>
    </row>
    <row r="901" spans="5:5" ht="12.75" customHeight="1" x14ac:dyDescent="0.2">
      <c r="E901" s="229"/>
    </row>
    <row r="902" spans="5:5" ht="12.75" customHeight="1" x14ac:dyDescent="0.2">
      <c r="E902" s="229"/>
    </row>
    <row r="903" spans="5:5" ht="12.75" customHeight="1" x14ac:dyDescent="0.2">
      <c r="E903" s="229"/>
    </row>
    <row r="904" spans="5:5" ht="12.75" customHeight="1" x14ac:dyDescent="0.2">
      <c r="E904" s="229"/>
    </row>
    <row r="905" spans="5:5" ht="12.75" customHeight="1" x14ac:dyDescent="0.2">
      <c r="E905" s="229"/>
    </row>
    <row r="906" spans="5:5" ht="12.75" customHeight="1" x14ac:dyDescent="0.2">
      <c r="E906" s="229"/>
    </row>
    <row r="907" spans="5:5" ht="12.75" customHeight="1" x14ac:dyDescent="0.2">
      <c r="E907" s="229"/>
    </row>
    <row r="908" spans="5:5" ht="12.75" customHeight="1" x14ac:dyDescent="0.2">
      <c r="E908" s="229"/>
    </row>
    <row r="909" spans="5:5" ht="12.75" customHeight="1" x14ac:dyDescent="0.2">
      <c r="E909" s="229"/>
    </row>
    <row r="910" spans="5:5" ht="12.75" customHeight="1" x14ac:dyDescent="0.2">
      <c r="E910" s="229"/>
    </row>
    <row r="911" spans="5:5" ht="12.75" customHeight="1" x14ac:dyDescent="0.2">
      <c r="E911" s="229"/>
    </row>
    <row r="912" spans="5:5" ht="12.75" customHeight="1" x14ac:dyDescent="0.2">
      <c r="E912" s="229"/>
    </row>
    <row r="913" spans="5:5" ht="12.75" customHeight="1" x14ac:dyDescent="0.2">
      <c r="E913" s="229"/>
    </row>
    <row r="914" spans="5:5" ht="12.75" customHeight="1" x14ac:dyDescent="0.2">
      <c r="E914" s="229"/>
    </row>
    <row r="915" spans="5:5" ht="12.75" customHeight="1" x14ac:dyDescent="0.2">
      <c r="E915" s="229"/>
    </row>
    <row r="916" spans="5:5" ht="12.75" customHeight="1" x14ac:dyDescent="0.2">
      <c r="E916" s="229"/>
    </row>
    <row r="917" spans="5:5" ht="12.75" customHeight="1" x14ac:dyDescent="0.2">
      <c r="E917" s="229"/>
    </row>
    <row r="918" spans="5:5" ht="12.75" customHeight="1" x14ac:dyDescent="0.2">
      <c r="E918" s="229"/>
    </row>
    <row r="919" spans="5:5" ht="12.75" customHeight="1" x14ac:dyDescent="0.2">
      <c r="E919" s="229"/>
    </row>
    <row r="920" spans="5:5" ht="12.75" customHeight="1" x14ac:dyDescent="0.2">
      <c r="E920" s="229"/>
    </row>
    <row r="921" spans="5:5" ht="12.75" customHeight="1" x14ac:dyDescent="0.2">
      <c r="E921" s="229"/>
    </row>
    <row r="922" spans="5:5" ht="12.75" customHeight="1" x14ac:dyDescent="0.2">
      <c r="E922" s="229"/>
    </row>
    <row r="923" spans="5:5" ht="12.75" customHeight="1" x14ac:dyDescent="0.2">
      <c r="E923" s="229"/>
    </row>
    <row r="924" spans="5:5" ht="12.75" customHeight="1" x14ac:dyDescent="0.2">
      <c r="E924" s="229"/>
    </row>
    <row r="925" spans="5:5" ht="12.75" customHeight="1" x14ac:dyDescent="0.2">
      <c r="E925" s="229"/>
    </row>
    <row r="926" spans="5:5" ht="12.75" customHeight="1" x14ac:dyDescent="0.2">
      <c r="E926" s="229"/>
    </row>
    <row r="927" spans="5:5" ht="12.75" customHeight="1" x14ac:dyDescent="0.2">
      <c r="E927" s="229"/>
    </row>
    <row r="928" spans="5:5" ht="12.75" customHeight="1" x14ac:dyDescent="0.2">
      <c r="E928" s="229"/>
    </row>
    <row r="929" spans="5:5" ht="12.75" customHeight="1" x14ac:dyDescent="0.2">
      <c r="E929" s="229"/>
    </row>
    <row r="930" spans="5:5" ht="12.75" customHeight="1" x14ac:dyDescent="0.2">
      <c r="E930" s="229"/>
    </row>
    <row r="931" spans="5:5" ht="12.75" customHeight="1" x14ac:dyDescent="0.2">
      <c r="E931" s="229"/>
    </row>
    <row r="932" spans="5:5" ht="12.75" customHeight="1" x14ac:dyDescent="0.2">
      <c r="E932" s="229"/>
    </row>
    <row r="933" spans="5:5" ht="12.75" customHeight="1" x14ac:dyDescent="0.2">
      <c r="E933" s="229"/>
    </row>
    <row r="934" spans="5:5" ht="12.75" customHeight="1" x14ac:dyDescent="0.2">
      <c r="E934" s="229"/>
    </row>
    <row r="935" spans="5:5" ht="12.75" customHeight="1" x14ac:dyDescent="0.2">
      <c r="E935" s="229"/>
    </row>
    <row r="936" spans="5:5" ht="12.75" customHeight="1" x14ac:dyDescent="0.2">
      <c r="E936" s="229"/>
    </row>
    <row r="937" spans="5:5" ht="12.75" customHeight="1" x14ac:dyDescent="0.2">
      <c r="E937" s="229"/>
    </row>
    <row r="938" spans="5:5" ht="12.75" customHeight="1" x14ac:dyDescent="0.2">
      <c r="E938" s="229"/>
    </row>
    <row r="939" spans="5:5" ht="12.75" customHeight="1" x14ac:dyDescent="0.2">
      <c r="E939" s="229"/>
    </row>
    <row r="940" spans="5:5" ht="12.75" customHeight="1" x14ac:dyDescent="0.2">
      <c r="E940" s="229"/>
    </row>
    <row r="941" spans="5:5" ht="12.75" customHeight="1" x14ac:dyDescent="0.2">
      <c r="E941" s="229"/>
    </row>
    <row r="942" spans="5:5" ht="12.75" customHeight="1" x14ac:dyDescent="0.2">
      <c r="E942" s="229"/>
    </row>
    <row r="943" spans="5:5" ht="12.75" customHeight="1" x14ac:dyDescent="0.2">
      <c r="E943" s="229"/>
    </row>
    <row r="944" spans="5:5" ht="12.75" customHeight="1" x14ac:dyDescent="0.2">
      <c r="E944" s="229"/>
    </row>
    <row r="945" spans="5:5" ht="12.75" customHeight="1" x14ac:dyDescent="0.2">
      <c r="E945" s="229"/>
    </row>
    <row r="946" spans="5:5" ht="12.75" customHeight="1" x14ac:dyDescent="0.2">
      <c r="E946" s="229"/>
    </row>
    <row r="947" spans="5:5" ht="12.75" customHeight="1" x14ac:dyDescent="0.2">
      <c r="E947" s="229"/>
    </row>
    <row r="948" spans="5:5" ht="12.75" customHeight="1" x14ac:dyDescent="0.2">
      <c r="E948" s="229"/>
    </row>
    <row r="949" spans="5:5" ht="12.75" customHeight="1" x14ac:dyDescent="0.2">
      <c r="E949" s="229"/>
    </row>
    <row r="950" spans="5:5" ht="12.75" customHeight="1" x14ac:dyDescent="0.2">
      <c r="E950" s="229"/>
    </row>
    <row r="951" spans="5:5" ht="12.75" customHeight="1" x14ac:dyDescent="0.2">
      <c r="E951" s="229"/>
    </row>
    <row r="952" spans="5:5" ht="12.75" customHeight="1" x14ac:dyDescent="0.2">
      <c r="E952" s="229"/>
    </row>
    <row r="953" spans="5:5" ht="12.75" customHeight="1" x14ac:dyDescent="0.2">
      <c r="E953" s="229"/>
    </row>
    <row r="954" spans="5:5" ht="12.75" customHeight="1" x14ac:dyDescent="0.2">
      <c r="E954" s="229"/>
    </row>
    <row r="955" spans="5:5" ht="12.75" customHeight="1" x14ac:dyDescent="0.2">
      <c r="E955" s="229"/>
    </row>
    <row r="956" spans="5:5" ht="12.75" customHeight="1" x14ac:dyDescent="0.2">
      <c r="E956" s="229"/>
    </row>
    <row r="957" spans="5:5" ht="12.75" customHeight="1" x14ac:dyDescent="0.2">
      <c r="E957" s="229"/>
    </row>
    <row r="958" spans="5:5" ht="12.75" customHeight="1" x14ac:dyDescent="0.2">
      <c r="E958" s="229"/>
    </row>
    <row r="959" spans="5:5" ht="12.75" customHeight="1" x14ac:dyDescent="0.2">
      <c r="E959" s="229"/>
    </row>
    <row r="960" spans="5:5" ht="12.75" customHeight="1" x14ac:dyDescent="0.2">
      <c r="E960" s="229"/>
    </row>
    <row r="961" spans="5:5" ht="12.75" customHeight="1" x14ac:dyDescent="0.2">
      <c r="E961" s="229"/>
    </row>
    <row r="962" spans="5:5" ht="12.75" customHeight="1" x14ac:dyDescent="0.2">
      <c r="E962" s="229"/>
    </row>
    <row r="963" spans="5:5" ht="12.75" customHeight="1" x14ac:dyDescent="0.2">
      <c r="E963" s="229"/>
    </row>
    <row r="964" spans="5:5" ht="12.75" customHeight="1" x14ac:dyDescent="0.2">
      <c r="E964" s="229"/>
    </row>
    <row r="965" spans="5:5" ht="12.75" customHeight="1" x14ac:dyDescent="0.2">
      <c r="E965" s="229"/>
    </row>
    <row r="966" spans="5:5" ht="12.75" customHeight="1" x14ac:dyDescent="0.2">
      <c r="E966" s="229"/>
    </row>
    <row r="967" spans="5:5" ht="12.75" customHeight="1" x14ac:dyDescent="0.2">
      <c r="E967" s="229"/>
    </row>
    <row r="968" spans="5:5" ht="12.75" customHeight="1" x14ac:dyDescent="0.2">
      <c r="E968" s="229"/>
    </row>
    <row r="969" spans="5:5" ht="12.75" customHeight="1" x14ac:dyDescent="0.2">
      <c r="E969" s="229"/>
    </row>
    <row r="970" spans="5:5" ht="12.75" customHeight="1" x14ac:dyDescent="0.2">
      <c r="E970" s="229"/>
    </row>
    <row r="971" spans="5:5" ht="12.75" customHeight="1" x14ac:dyDescent="0.2">
      <c r="E971" s="229"/>
    </row>
    <row r="972" spans="5:5" ht="12.75" customHeight="1" x14ac:dyDescent="0.2">
      <c r="E972" s="229"/>
    </row>
    <row r="973" spans="5:5" ht="12.75" customHeight="1" x14ac:dyDescent="0.2">
      <c r="E973" s="229"/>
    </row>
    <row r="974" spans="5:5" ht="12.75" customHeight="1" x14ac:dyDescent="0.2">
      <c r="E974" s="229"/>
    </row>
    <row r="975" spans="5:5" ht="12.75" customHeight="1" x14ac:dyDescent="0.2">
      <c r="E975" s="229"/>
    </row>
    <row r="976" spans="5:5" ht="12.75" customHeight="1" x14ac:dyDescent="0.2">
      <c r="E976" s="229"/>
    </row>
    <row r="977" spans="5:5" ht="12.75" customHeight="1" x14ac:dyDescent="0.2">
      <c r="E977" s="229"/>
    </row>
    <row r="978" spans="5:5" ht="12.75" customHeight="1" x14ac:dyDescent="0.2">
      <c r="E978" s="229"/>
    </row>
    <row r="979" spans="5:5" ht="12.75" customHeight="1" x14ac:dyDescent="0.2">
      <c r="E979" s="229"/>
    </row>
    <row r="980" spans="5:5" ht="12.75" customHeight="1" x14ac:dyDescent="0.2">
      <c r="E980" s="229"/>
    </row>
    <row r="981" spans="5:5" ht="12.75" customHeight="1" x14ac:dyDescent="0.2">
      <c r="E981" s="229"/>
    </row>
    <row r="982" spans="5:5" ht="12.75" customHeight="1" x14ac:dyDescent="0.2">
      <c r="E982" s="229"/>
    </row>
    <row r="983" spans="5:5" ht="12.75" customHeight="1" x14ac:dyDescent="0.2">
      <c r="E983" s="229"/>
    </row>
    <row r="984" spans="5:5" ht="12.75" customHeight="1" x14ac:dyDescent="0.2">
      <c r="E984" s="229"/>
    </row>
    <row r="985" spans="5:5" ht="12.75" customHeight="1" x14ac:dyDescent="0.2">
      <c r="E985" s="229"/>
    </row>
    <row r="986" spans="5:5" ht="12.75" customHeight="1" x14ac:dyDescent="0.2">
      <c r="E986" s="229"/>
    </row>
    <row r="987" spans="5:5" ht="12.75" customHeight="1" x14ac:dyDescent="0.2">
      <c r="E987" s="229"/>
    </row>
    <row r="988" spans="5:5" ht="12.75" customHeight="1" x14ac:dyDescent="0.2">
      <c r="E988" s="229"/>
    </row>
    <row r="989" spans="5:5" ht="12.75" customHeight="1" x14ac:dyDescent="0.2">
      <c r="E989" s="229"/>
    </row>
    <row r="990" spans="5:5" ht="12.75" customHeight="1" x14ac:dyDescent="0.2">
      <c r="E990" s="229"/>
    </row>
    <row r="991" spans="5:5" ht="12.75" customHeight="1" x14ac:dyDescent="0.2">
      <c r="E991" s="229"/>
    </row>
    <row r="992" spans="5:5" ht="12.75" customHeight="1" x14ac:dyDescent="0.2">
      <c r="E992" s="229"/>
    </row>
    <row r="993" spans="5:5" ht="12.75" customHeight="1" x14ac:dyDescent="0.2">
      <c r="E993" s="229"/>
    </row>
    <row r="994" spans="5:5" ht="12.75" customHeight="1" x14ac:dyDescent="0.2">
      <c r="E994" s="229"/>
    </row>
    <row r="995" spans="5:5" ht="12.75" customHeight="1" x14ac:dyDescent="0.2">
      <c r="E995" s="229"/>
    </row>
    <row r="996" spans="5:5" ht="12.75" customHeight="1" x14ac:dyDescent="0.2">
      <c r="E996" s="229"/>
    </row>
    <row r="997" spans="5:5" ht="12.75" customHeight="1" x14ac:dyDescent="0.2">
      <c r="E997" s="229"/>
    </row>
    <row r="998" spans="5:5" ht="12.75" customHeight="1" x14ac:dyDescent="0.2">
      <c r="E998" s="229"/>
    </row>
    <row r="999" spans="5:5" ht="12.75" customHeight="1" x14ac:dyDescent="0.2">
      <c r="E999" s="229"/>
    </row>
    <row r="1000" spans="5:5" ht="12.75" customHeight="1" x14ac:dyDescent="0.2">
      <c r="E1000" s="229"/>
    </row>
  </sheetData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B1"/>
    </sheetView>
  </sheetViews>
  <sheetFormatPr defaultColWidth="14.42578125" defaultRowHeight="15" customHeight="1" x14ac:dyDescent="0.2"/>
  <cols>
    <col min="1" max="1" width="24.5703125" customWidth="1"/>
    <col min="2" max="2" width="20.85546875" customWidth="1"/>
    <col min="3" max="26" width="9.140625" customWidth="1"/>
  </cols>
  <sheetData>
    <row r="1" spans="1:26" ht="19.5" customHeight="1" x14ac:dyDescent="0.2">
      <c r="A1" s="281" t="s">
        <v>241</v>
      </c>
      <c r="B1" s="25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9.5" customHeight="1" x14ac:dyDescent="0.2">
      <c r="A2" s="231" t="s">
        <v>242</v>
      </c>
      <c r="B2" s="232" t="s">
        <v>243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9.5" customHeight="1" x14ac:dyDescent="0.2">
      <c r="A3" s="233">
        <v>1</v>
      </c>
      <c r="B3" s="234">
        <v>33.629999999999995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19.5" customHeight="1" x14ac:dyDescent="0.2">
      <c r="A4" s="233">
        <v>2</v>
      </c>
      <c r="B4" s="234">
        <v>43.13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9.5" customHeight="1" x14ac:dyDescent="0.2">
      <c r="A5" s="233">
        <v>3</v>
      </c>
      <c r="B5" s="234">
        <v>48.68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9.5" customHeight="1" x14ac:dyDescent="0.2">
      <c r="A6" s="233">
        <v>4</v>
      </c>
      <c r="B6" s="234">
        <v>52.62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9.5" customHeight="1" x14ac:dyDescent="0.2">
      <c r="A7" s="233">
        <v>5</v>
      </c>
      <c r="B7" s="234">
        <v>55.679999999999993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9.5" customHeight="1" x14ac:dyDescent="0.2">
      <c r="A8" s="233">
        <v>6</v>
      </c>
      <c r="B8" s="234">
        <v>58.18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9.5" customHeight="1" x14ac:dyDescent="0.2">
      <c r="A9" s="233">
        <v>7</v>
      </c>
      <c r="B9" s="234">
        <v>60.29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ht="19.5" customHeight="1" x14ac:dyDescent="0.2">
      <c r="A10" s="233">
        <v>8</v>
      </c>
      <c r="B10" s="234">
        <v>62.12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ht="19.5" customHeight="1" x14ac:dyDescent="0.2">
      <c r="A11" s="233">
        <v>9</v>
      </c>
      <c r="B11" s="234">
        <v>63.73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ht="19.5" customHeight="1" x14ac:dyDescent="0.2">
      <c r="A12" s="233">
        <v>10</v>
      </c>
      <c r="B12" s="234">
        <v>65.180000000000007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9.5" customHeight="1" x14ac:dyDescent="0.2">
      <c r="A13" s="233">
        <v>11</v>
      </c>
      <c r="B13" s="234">
        <v>66.47999999999999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9.5" customHeight="1" x14ac:dyDescent="0.2">
      <c r="A14" s="233">
        <v>12</v>
      </c>
      <c r="B14" s="234">
        <v>67.67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ht="19.5" customHeight="1" x14ac:dyDescent="0.2">
      <c r="A15" s="233">
        <v>13</v>
      </c>
      <c r="B15" s="234">
        <v>68.77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19.5" customHeight="1" x14ac:dyDescent="0.2">
      <c r="A16" s="233">
        <v>14</v>
      </c>
      <c r="B16" s="234">
        <v>69.789999999999992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9.5" customHeight="1" x14ac:dyDescent="0.2">
      <c r="A17" s="235">
        <v>15</v>
      </c>
      <c r="B17" s="236">
        <v>70.73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9.5" customHeight="1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9.5" customHeight="1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9.5" customHeight="1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9.5" customHeight="1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9.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9.5" customHeight="1" x14ac:dyDescent="0.2">
      <c r="A23" s="134"/>
      <c r="B23" s="134"/>
      <c r="C23" s="134"/>
      <c r="D23" s="134"/>
      <c r="E23" s="178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9.5" customHeight="1" x14ac:dyDescent="0.2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9.5" customHeight="1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ht="19.5" customHeight="1" x14ac:dyDescent="0.2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ht="19.5" customHeigh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9.5" customHeight="1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:26" ht="19.5" customHeight="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9.5" customHeight="1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9.5" customHeight="1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9.5" customHeight="1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ht="19.5" customHeight="1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ht="19.5" customHeight="1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spans="1:26" ht="19.5" customHeight="1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26" ht="19.5" customHeight="1" x14ac:dyDescent="0.2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9.5" customHeight="1" x14ac:dyDescent="0.2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9.5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ht="19.5" customHeight="1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ht="19.5" customHeight="1" x14ac:dyDescent="0.2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ht="19.5" customHeight="1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ht="19.5" customHeight="1" x14ac:dyDescent="0.2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9.5" customHeight="1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6" ht="19.5" customHeight="1" x14ac:dyDescent="0.2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spans="1:26" ht="19.5" customHeight="1" x14ac:dyDescent="0.2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spans="1:26" ht="19.5" customHeight="1" x14ac:dyDescent="0.2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:26" ht="19.5" customHeight="1" x14ac:dyDescent="0.2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9.5" customHeight="1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spans="1:26" ht="19.5" customHeight="1" x14ac:dyDescent="0.2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:26" ht="19.5" customHeight="1" x14ac:dyDescent="0.2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:26" ht="19.5" customHeight="1" x14ac:dyDescent="0.2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spans="1:26" ht="19.5" customHeight="1" x14ac:dyDescent="0.2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spans="1:26" ht="19.5" customHeight="1" x14ac:dyDescent="0.2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spans="1:26" ht="19.5" customHeight="1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spans="1:26" ht="19.5" customHeight="1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spans="1:26" ht="19.5" customHeight="1" x14ac:dyDescent="0.2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spans="1:26" ht="19.5" customHeight="1" x14ac:dyDescent="0.2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spans="1:26" ht="19.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spans="1:26" ht="19.5" customHeight="1" x14ac:dyDescent="0.2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spans="1:26" ht="19.5" customHeight="1" x14ac:dyDescent="0.2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spans="1:26" ht="19.5" customHeight="1" x14ac:dyDescent="0.2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spans="1:26" ht="19.5" customHeight="1" x14ac:dyDescent="0.2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spans="1:26" ht="19.5" customHeight="1" x14ac:dyDescent="0.2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:26" ht="19.5" customHeight="1" x14ac:dyDescent="0.2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spans="1:26" ht="19.5" customHeight="1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spans="1:26" ht="19.5" customHeight="1" x14ac:dyDescent="0.2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spans="1:26" ht="19.5" customHeight="1" x14ac:dyDescent="0.2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spans="1:26" ht="19.5" customHeight="1" x14ac:dyDescent="0.2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spans="1:26" ht="19.5" customHeight="1" x14ac:dyDescent="0.2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spans="1:26" ht="19.5" customHeight="1" x14ac:dyDescent="0.2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spans="1:26" ht="19.5" customHeight="1" x14ac:dyDescent="0.2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spans="1:26" ht="19.5" customHeight="1" x14ac:dyDescent="0.2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spans="1:26" ht="19.5" customHeight="1" x14ac:dyDescent="0.2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spans="1:26" ht="19.5" customHeight="1" x14ac:dyDescent="0.2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spans="1:26" ht="19.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spans="1:26" ht="19.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spans="1:26" ht="19.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ht="19.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spans="1:26" ht="19.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spans="1:26" ht="19.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spans="1:26" ht="19.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spans="1:26" ht="19.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spans="1:26" ht="19.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spans="1:26" ht="19.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spans="1:26" ht="19.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:26" ht="19.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spans="1:26" ht="19.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spans="1:26" ht="19.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spans="1:26" ht="19.5" customHeight="1" x14ac:dyDescent="0.2">
      <c r="A89" s="134" t="s">
        <v>190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spans="1:26" ht="19.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spans="1:26" ht="19.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spans="1:26" ht="19.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spans="1:26" ht="19.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spans="1:26" ht="19.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spans="1:26" ht="19.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spans="1:26" ht="19.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spans="1:26" ht="19.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spans="1:26" ht="19.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spans="1:26" ht="19.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spans="1:26" ht="19.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spans="1:26" ht="19.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spans="1:26" ht="19.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spans="1:26" ht="19.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spans="1:26" ht="19.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spans="1:26" ht="19.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spans="1:26" ht="19.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spans="1:26" ht="19.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spans="1:26" ht="19.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spans="1:26" ht="19.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spans="1:26" ht="19.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spans="1:26" ht="19.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spans="1:26" ht="19.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spans="1:26" ht="19.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:26" ht="19.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spans="1:26" ht="19.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spans="1:26" ht="19.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spans="1:26" ht="19.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spans="1:26" ht="19.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spans="1:26" ht="19.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spans="1:26" ht="19.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spans="1:26" ht="19.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spans="1:26" ht="19.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spans="1:26" ht="19.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spans="1:26" ht="19.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spans="1:26" ht="19.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spans="1:26" ht="19.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spans="1:26" ht="19.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spans="1:26" ht="19.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spans="1:26" ht="19.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spans="1:26" ht="19.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spans="1:26" ht="19.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spans="1:26" ht="19.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spans="1:26" ht="19.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spans="1:26" ht="19.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spans="1:26" ht="19.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spans="1:26" ht="19.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spans="1:26" ht="19.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spans="1:26" ht="19.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spans="1:26" ht="19.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spans="1:26" ht="19.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spans="1:26" ht="19.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spans="1:26" ht="19.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spans="1:26" ht="19.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spans="1:26" ht="19.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spans="1:26" ht="19.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spans="1:26" ht="19.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spans="1:26" ht="19.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spans="1:26" ht="19.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spans="1:26" ht="19.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spans="1:26" ht="19.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spans="1:26" ht="19.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spans="1:26" ht="19.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ht="19.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spans="1:26" ht="19.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spans="1:26" ht="19.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spans="1:26" ht="19.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spans="1:26" ht="19.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spans="1:26" ht="19.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spans="1:26" ht="19.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spans="1:26" ht="19.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spans="1:26" ht="19.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spans="1:26" ht="19.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spans="1:26" ht="19.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spans="1:26" ht="19.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spans="1:26" ht="19.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spans="1:26" ht="19.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spans="1:26" ht="19.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spans="1:26" ht="19.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spans="1:26" ht="19.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spans="1:26" ht="19.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spans="1:26" ht="19.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spans="1:26" ht="19.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spans="1:26" ht="19.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spans="1:26" ht="19.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spans="1:26" ht="19.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spans="1:26" ht="19.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spans="1:26" ht="19.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spans="1:26" ht="19.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spans="1:26" ht="19.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spans="1:26" ht="19.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spans="1:26" ht="19.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spans="1:26" ht="19.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spans="1:26" ht="19.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spans="1:26" ht="19.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spans="1:26" ht="19.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spans="1:26" ht="19.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spans="1:26" ht="19.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spans="1:26" ht="19.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spans="1:26" ht="19.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spans="1:26" ht="19.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spans="1:26" ht="19.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spans="1:26" ht="19.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spans="1:26" ht="19.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spans="1:26" ht="19.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spans="1:26" ht="19.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spans="1:26" ht="19.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spans="1:26" ht="19.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spans="1:26" ht="19.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spans="1:26" ht="19.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spans="1:26" ht="19.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spans="1:26" ht="19.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spans="1:26" ht="19.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spans="1:26" ht="19.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spans="1:26" ht="19.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spans="1:26" ht="19.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spans="1:26" ht="19.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spans="1:26" ht="19.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spans="1:26" ht="19.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spans="1:26" ht="19.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spans="1:26" ht="19.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spans="1:26" ht="19.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spans="1:26" ht="19.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spans="1:26" ht="19.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spans="1:26" ht="19.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spans="1:26" ht="19.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spans="1:26" ht="19.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spans="1:26" ht="19.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spans="1:26" ht="19.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spans="1:26" ht="19.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spans="1:26" ht="19.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spans="1:26" ht="19.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spans="1:26" ht="19.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spans="1:26" ht="19.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spans="1:26" ht="19.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spans="1:26" ht="19.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spans="1:26" ht="19.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spans="1:26" ht="19.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ht="19.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spans="1:26" ht="19.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spans="1:26" ht="19.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spans="1:26" ht="19.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spans="1:26" ht="19.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spans="1:26" ht="19.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spans="1:26" ht="19.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spans="1:26" ht="19.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spans="1:26" ht="19.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spans="1:26" ht="19.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spans="1:26" ht="19.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spans="1:26" ht="19.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spans="1:26" ht="19.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spans="1:26" ht="19.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spans="1:26" ht="19.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spans="1:26" ht="19.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spans="1:26" ht="19.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spans="1:26" ht="19.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spans="1:26" ht="19.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spans="1:26" ht="19.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spans="1:26" ht="19.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spans="1:26" ht="19.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spans="1:26" ht="19.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spans="1:26" ht="19.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spans="1:26" ht="19.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spans="1:26" ht="19.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spans="1:26" ht="19.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spans="1:26" ht="19.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spans="1:26" ht="19.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spans="1:26" ht="19.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spans="1:26" ht="19.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spans="1:26" ht="19.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spans="1:26" ht="19.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spans="1:26" ht="19.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spans="1:26" ht="19.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spans="1:26" ht="19.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spans="1:26" ht="19.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spans="1:26" ht="19.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spans="1:26" ht="19.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spans="1:26" ht="19.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spans="1:26" ht="19.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spans="1:26" ht="19.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spans="1:26" ht="19.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spans="1:26" ht="19.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spans="1:26" ht="19.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spans="1:26" ht="19.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spans="1:26" ht="19.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spans="1:26" ht="19.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spans="1:26" ht="19.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spans="1:26" ht="19.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spans="1:26" ht="19.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spans="1:26" ht="19.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spans="1:26" ht="19.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spans="1:26" ht="19.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spans="1:26" ht="19.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spans="1:26" ht="19.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spans="1:26" ht="19.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spans="1:26" ht="19.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spans="1:26" ht="19.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spans="1:26" ht="19.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spans="1:26" ht="19.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spans="1:26" ht="19.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spans="1:26" ht="19.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spans="1:26" ht="19.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spans="1:26" ht="19.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spans="1:26" ht="19.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spans="1:26" ht="19.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spans="1:26" ht="19.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spans="1:26" ht="19.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spans="1:26" ht="19.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spans="1:26" ht="19.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spans="1:26" ht="19.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spans="1:26" ht="19.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spans="1:26" ht="19.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spans="1:26" ht="19.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ht="19.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spans="1:26" ht="19.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spans="1:26" ht="19.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spans="1:26" ht="19.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spans="1:26" ht="19.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spans="1:26" ht="19.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spans="1:26" ht="19.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spans="1:26" ht="19.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spans="1:26" ht="19.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spans="1:26" ht="19.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spans="1:26" ht="19.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spans="1:26" ht="19.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spans="1:26" ht="19.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spans="1:26" ht="19.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spans="1:26" ht="19.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spans="1:26" ht="19.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spans="1:26" ht="19.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spans="1:26" ht="19.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spans="1:26" ht="19.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spans="1:26" ht="19.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spans="1:26" ht="19.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spans="1:26" ht="19.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spans="1:26" ht="19.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spans="1:26" ht="19.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spans="1:26" ht="19.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spans="1:26" ht="19.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spans="1:26" ht="19.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spans="1:26" ht="19.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spans="1:26" ht="19.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spans="1:26" ht="19.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spans="1:26" ht="19.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spans="1:26" ht="19.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spans="1:26" ht="19.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spans="1:26" ht="19.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spans="1:26" ht="19.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spans="1:26" ht="19.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spans="1:26" ht="19.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spans="1:26" ht="19.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spans="1:26" ht="19.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spans="1:26" ht="19.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spans="1:26" ht="19.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spans="1:26" ht="19.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spans="1:26" ht="19.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spans="1:26" ht="19.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spans="1:26" ht="19.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spans="1:26" ht="19.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spans="1:26" ht="19.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spans="1:26" ht="19.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spans="1:26" ht="19.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spans="1:26" ht="19.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spans="1:26" ht="19.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spans="1:26" ht="19.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spans="1:26" ht="19.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spans="1:26" ht="19.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spans="1:26" ht="19.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spans="1:26" ht="19.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spans="1:26" ht="19.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spans="1:26" ht="19.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spans="1:26" ht="19.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spans="1:26" ht="19.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spans="1:26" ht="19.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spans="1:26" ht="19.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spans="1:26" ht="19.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spans="1:26" ht="19.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spans="1:26" ht="19.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spans="1:26" ht="19.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spans="1:26" ht="19.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spans="1:26" ht="19.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spans="1:26" ht="19.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spans="1:26" ht="19.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spans="1:26" ht="19.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spans="1:26" ht="19.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spans="1:26" ht="19.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spans="1:26" ht="19.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spans="1:26" ht="19.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ht="19.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spans="1:26" ht="19.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spans="1:26" ht="19.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spans="1:26" ht="19.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spans="1:26" ht="19.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spans="1:26" ht="19.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spans="1:26" ht="19.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spans="1:26" ht="19.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spans="1:26" ht="19.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spans="1:26" ht="19.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spans="1:26" ht="19.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spans="1:26" ht="19.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spans="1:26" ht="19.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spans="1:26" ht="19.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spans="1:26" ht="19.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spans="1:26" ht="19.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spans="1:26" ht="19.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spans="1:26" ht="19.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spans="1:26" ht="19.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spans="1:26" ht="19.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spans="1:26" ht="19.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spans="1:26" ht="19.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spans="1:26" ht="19.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spans="1:26" ht="19.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spans="1:26" ht="19.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spans="1:26" ht="19.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spans="1:26" ht="19.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spans="1:26" ht="19.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spans="1:26" ht="19.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spans="1:26" ht="19.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spans="1:26" ht="19.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spans="1:26" ht="19.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spans="1:26" ht="19.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spans="1:26" ht="19.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spans="1:26" ht="19.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spans="1:26" ht="19.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spans="1:26" ht="19.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spans="1:26" ht="19.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spans="1:26" ht="19.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spans="1:26" ht="19.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spans="1:26" ht="19.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spans="1:26" ht="19.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spans="1:26" ht="19.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spans="1:26" ht="19.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spans="1:26" ht="19.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spans="1:26" ht="19.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spans="1:26" ht="19.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spans="1:26" ht="19.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spans="1:26" ht="19.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spans="1:26" ht="19.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spans="1:26" ht="19.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spans="1:26" ht="19.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spans="1:26" ht="19.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spans="1:26" ht="19.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spans="1:26" ht="19.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spans="1:26" ht="19.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spans="1:26" ht="19.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spans="1:26" ht="19.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spans="1:26" ht="19.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spans="1:26" ht="19.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spans="1:26" ht="19.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spans="1:26" ht="19.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spans="1:26" ht="19.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spans="1:26" ht="19.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spans="1:26" ht="19.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spans="1:26" ht="19.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spans="1:26" ht="19.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spans="1:26" ht="19.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spans="1:26" ht="19.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spans="1:26" ht="19.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spans="1:26" ht="19.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spans="1:26" ht="19.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spans="1:26" ht="19.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spans="1:26" ht="19.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spans="1:26" ht="19.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ht="19.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spans="1:26" ht="19.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spans="1:26" ht="19.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spans="1:26" ht="19.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spans="1:26" ht="19.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spans="1:26" ht="19.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spans="1:26" ht="19.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spans="1:26" ht="19.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spans="1:26" ht="19.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spans="1:26" ht="19.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spans="1:26" ht="19.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spans="1:26" ht="19.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spans="1:26" ht="19.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spans="1:26" ht="19.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spans="1:26" ht="19.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spans="1:26" ht="19.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spans="1:26" ht="19.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spans="1:26" ht="19.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spans="1:26" ht="19.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spans="1:26" ht="19.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spans="1:26" ht="19.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spans="1:26" ht="19.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spans="1:26" ht="19.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spans="1:26" ht="19.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spans="1:26" ht="19.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spans="1:26" ht="19.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spans="1:26" ht="19.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spans="1:26" ht="19.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spans="1:26" ht="19.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spans="1:26" ht="19.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spans="1:26" ht="19.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spans="1:26" ht="19.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spans="1:26" ht="19.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spans="1:26" ht="19.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spans="1:26" ht="19.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spans="1:26" ht="19.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spans="1:26" ht="19.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spans="1:26" ht="19.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spans="1:26" ht="19.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spans="1:26" ht="19.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spans="1:26" ht="19.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spans="1:26" ht="19.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spans="1:26" ht="19.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spans="1:26" ht="19.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spans="1:26" ht="19.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spans="1:26" ht="19.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spans="1:26" ht="19.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spans="1:26" ht="19.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spans="1:26" ht="19.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spans="1:26" ht="19.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spans="1:26" ht="19.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spans="1:26" ht="19.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spans="1:26" ht="19.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spans="1:26" ht="19.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spans="1:26" ht="19.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spans="1:26" ht="19.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spans="1:26" ht="19.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spans="1:26" ht="19.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spans="1:26" ht="19.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spans="1:26" ht="19.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spans="1:26" ht="19.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spans="1:26" ht="19.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spans="1:26" ht="19.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spans="1:26" ht="19.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spans="1:26" ht="19.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spans="1:26" ht="19.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spans="1:26" ht="19.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spans="1:26" ht="19.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spans="1:26" ht="19.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spans="1:26" ht="19.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spans="1:26" ht="19.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spans="1:26" ht="19.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spans="1:26" ht="19.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spans="1:26" ht="19.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spans="1:26" ht="19.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ht="19.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spans="1:26" ht="19.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spans="1:26" ht="19.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spans="1:26" ht="19.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spans="1:26" ht="19.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spans="1:26" ht="19.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spans="1:26" ht="19.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spans="1:26" ht="19.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spans="1:26" ht="19.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spans="1:26" ht="19.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spans="1:26" ht="19.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spans="1:26" ht="19.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spans="1:26" ht="19.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spans="1:26" ht="19.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spans="1:26" ht="19.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spans="1:26" ht="19.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spans="1:26" ht="19.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spans="1:26" ht="19.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spans="1:26" ht="19.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spans="1:26" ht="19.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spans="1:26" ht="19.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spans="1:26" ht="19.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spans="1:26" ht="19.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spans="1:26" ht="19.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spans="1:26" ht="19.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spans="1:26" ht="19.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spans="1:26" ht="19.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spans="1:26" ht="19.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spans="1:26" ht="19.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spans="1:26" ht="19.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spans="1:26" ht="19.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spans="1:26" ht="19.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spans="1:26" ht="19.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spans="1:26" ht="19.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spans="1:26" ht="19.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spans="1:26" ht="19.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spans="1:26" ht="19.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spans="1:26" ht="19.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spans="1:26" ht="19.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spans="1:26" ht="19.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spans="1:26" ht="19.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spans="1:26" ht="19.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spans="1:26" ht="19.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spans="1:26" ht="19.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spans="1:26" ht="19.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spans="1:26" ht="19.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spans="1:26" ht="19.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spans="1:26" ht="19.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spans="1:26" ht="19.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spans="1:26" ht="19.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spans="1:26" ht="19.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spans="1:26" ht="19.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spans="1:26" ht="19.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spans="1:26" ht="19.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spans="1:26" ht="19.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spans="1:26" ht="19.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spans="1:26" ht="19.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spans="1:26" ht="19.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spans="1:26" ht="19.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spans="1:26" ht="19.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spans="1:26" ht="19.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spans="1:26" ht="19.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spans="1:26" ht="19.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spans="1:26" ht="19.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spans="1:26" ht="19.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spans="1:26" ht="19.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spans="1:26" ht="19.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spans="1:26" ht="19.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spans="1:26" ht="19.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spans="1:26" ht="19.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spans="1:26" ht="19.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spans="1:26" ht="19.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spans="1:26" ht="19.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spans="1:26" ht="19.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spans="1:26" ht="19.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spans="1:26" ht="19.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spans="1:26" ht="19.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spans="1:26" ht="19.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spans="1:26" ht="19.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spans="1:26" ht="19.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spans="1:26" ht="19.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spans="1:26" ht="19.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spans="1:26" ht="19.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spans="1:26" ht="19.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spans="1:26" ht="19.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spans="1:26" ht="19.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spans="1:26" ht="19.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spans="1:26" ht="19.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spans="1:26" ht="19.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spans="1:26" ht="19.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spans="1:26" ht="19.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spans="1:26" ht="19.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spans="1:26" ht="19.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spans="1:26" ht="19.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spans="1:26" ht="19.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spans="1:26" ht="19.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spans="1:26" ht="19.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spans="1:26" ht="19.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spans="1:26" ht="19.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spans="1:26" ht="19.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spans="1:26" ht="19.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spans="1:26" ht="19.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spans="1:26" ht="19.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spans="1:26" ht="19.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spans="1:26" ht="19.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spans="1:26" ht="19.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spans="1:26" ht="19.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spans="1:26" ht="19.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spans="1:26" ht="19.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spans="1:26" ht="19.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spans="1:26" ht="19.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spans="1:26" ht="19.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spans="1:26" ht="19.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spans="1:26" ht="19.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spans="1:26" ht="19.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spans="1:26" ht="19.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spans="1:26" ht="19.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spans="1:26" ht="19.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spans="1:26" ht="19.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spans="1:26" ht="19.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spans="1:26" ht="19.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spans="1:26" ht="19.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spans="1:26" ht="19.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spans="1:26" ht="19.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spans="1:26" ht="19.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spans="1:26" ht="19.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spans="1:26" ht="19.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spans="1:26" ht="19.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spans="1:26" ht="19.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spans="1:26" ht="19.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spans="1:26" ht="19.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spans="1:26" ht="19.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spans="1:26" ht="19.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spans="1:26" ht="19.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spans="1:26" ht="19.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spans="1:26" ht="19.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spans="1:26" ht="19.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spans="1:26" ht="19.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spans="1:26" ht="19.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spans="1:26" ht="19.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spans="1:26" ht="19.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spans="1:26" ht="19.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spans="1:26" ht="19.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spans="1:26" ht="19.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spans="1:26" ht="19.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spans="1:26" ht="19.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spans="1:26" ht="19.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spans="1:26" ht="19.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spans="1:26" ht="19.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spans="1:26" ht="19.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spans="1:26" ht="19.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spans="1:26" ht="19.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spans="1:26" ht="19.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spans="1:26" ht="19.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spans="1:26" ht="19.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spans="1:26" ht="19.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spans="1:26" ht="19.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spans="1:26" ht="19.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spans="1:26" ht="19.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spans="1:26" ht="19.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spans="1:26" ht="19.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spans="1:26" ht="19.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spans="1:26" ht="19.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spans="1:26" ht="19.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spans="1:26" ht="19.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spans="1:26" ht="19.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spans="1:26" ht="19.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spans="1:26" ht="19.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spans="1:26" ht="19.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spans="1:26" ht="19.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spans="1:26" ht="19.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spans="1:26" ht="19.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spans="1:26" ht="19.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spans="1:26" ht="19.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spans="1:26" ht="19.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spans="1:26" ht="19.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spans="1:26" ht="19.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spans="1:26" ht="19.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spans="1:26" ht="19.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spans="1:26" ht="19.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spans="1:26" ht="19.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spans="1:26" ht="19.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spans="1:26" ht="19.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spans="1:26" ht="19.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spans="1:26" ht="19.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spans="1:26" ht="19.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spans="1:26" ht="19.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spans="1:26" ht="19.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spans="1:26" ht="19.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spans="1:26" ht="19.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spans="1:26" ht="19.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spans="1:26" ht="19.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spans="1:26" ht="19.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spans="1:26" ht="19.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spans="1:26" ht="19.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spans="1:26" ht="19.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spans="1:26" ht="19.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spans="1:26" ht="19.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spans="1:26" ht="19.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spans="1:26" ht="19.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spans="1:26" ht="19.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spans="1:26" ht="19.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spans="1:26" ht="19.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spans="1:26" ht="19.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spans="1:26" ht="19.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spans="1:26" ht="19.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spans="1:26" ht="19.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spans="1:26" ht="19.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spans="1:26" ht="19.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spans="1:26" ht="19.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spans="1:26" ht="19.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spans="1:26" ht="19.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spans="1:26" ht="19.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spans="1:26" ht="19.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spans="1:26" ht="19.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spans="1:26" ht="19.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spans="1:26" ht="19.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spans="1:26" ht="19.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spans="1:26" ht="19.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spans="1:26" ht="19.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spans="1:26" ht="19.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spans="1:26" ht="19.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spans="1:26" ht="19.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spans="1:26" ht="19.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spans="1:26" ht="19.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spans="1:26" ht="19.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spans="1:26" ht="19.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spans="1:26" ht="19.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spans="1:26" ht="19.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spans="1:26" ht="19.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spans="1:26" ht="19.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spans="1:26" ht="19.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spans="1:26" ht="19.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spans="1:26" ht="19.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spans="1:26" ht="19.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spans="1:26" ht="19.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spans="1:26" ht="19.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spans="1:26" ht="19.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spans="1:26" ht="19.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spans="1:26" ht="19.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spans="1:26" ht="19.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spans="1:26" ht="19.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spans="1:26" ht="19.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spans="1:26" ht="19.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spans="1:26" ht="19.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spans="1:26" ht="19.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spans="1:26" ht="19.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spans="1:26" ht="19.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spans="1:26" ht="19.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spans="1:26" ht="19.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spans="1:26" ht="19.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spans="1:26" ht="19.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spans="1:26" ht="19.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spans="1:26" ht="19.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spans="1:26" ht="19.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spans="1:26" ht="19.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spans="1:26" ht="19.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spans="1:26" ht="19.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spans="1:26" ht="19.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spans="1:26" ht="19.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spans="1:26" ht="19.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spans="1:26" ht="19.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spans="1:26" ht="19.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spans="1:26" ht="19.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spans="1:26" ht="19.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spans="1:26" ht="19.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spans="1:26" ht="19.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spans="1:26" ht="19.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spans="1:26" ht="19.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spans="1:26" ht="19.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spans="1:26" ht="19.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spans="1:26" ht="19.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spans="1:26" ht="19.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spans="1:26" ht="19.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spans="1:26" ht="19.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spans="1:26" ht="19.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spans="1:26" ht="19.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spans="1:26" ht="19.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spans="1:26" ht="19.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spans="1:26" ht="19.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spans="1:26" ht="19.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spans="1:26" ht="19.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spans="1:26" ht="19.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spans="1:26" ht="19.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spans="1:26" ht="19.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spans="1:26" ht="19.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spans="1:26" ht="19.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spans="1:26" ht="19.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spans="1:26" ht="19.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spans="1:26" ht="19.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spans="1:26" ht="19.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spans="1:26" ht="19.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spans="1:26" ht="19.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spans="1:26" ht="19.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spans="1:26" ht="19.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spans="1:26" ht="19.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spans="1:26" ht="19.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spans="1:26" ht="19.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spans="1:26" ht="19.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spans="1:26" ht="19.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spans="1:26" ht="19.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spans="1:26" ht="19.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spans="1:26" ht="19.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spans="1:26" ht="19.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spans="1:26" ht="19.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spans="1:26" ht="19.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spans="1:26" ht="19.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spans="1:26" ht="19.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spans="1:26" ht="19.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spans="1:26" ht="19.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spans="1:26" ht="19.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spans="1:26" ht="19.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spans="1:26" ht="19.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spans="1:26" ht="19.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spans="1:26" ht="19.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spans="1:26" ht="19.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spans="1:26" ht="19.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spans="1:26" ht="19.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spans="1:26" ht="19.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spans="1:26" ht="19.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spans="1:26" ht="19.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spans="1:26" ht="19.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spans="1:26" ht="19.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spans="1:26" ht="19.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spans="1:26" ht="19.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spans="1:26" ht="19.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spans="1:26" ht="19.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spans="1:26" ht="19.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spans="1:26" ht="19.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spans="1:26" ht="19.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spans="1:26" ht="19.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spans="1:26" ht="19.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spans="1:26" ht="19.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spans="1:26" ht="19.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spans="1:26" ht="19.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spans="1:26" ht="19.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spans="1:26" ht="19.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spans="1:26" ht="19.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spans="1:26" ht="19.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spans="1:26" ht="19.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spans="1:26" ht="19.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spans="1:26" ht="19.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spans="1:26" ht="19.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spans="1:26" ht="19.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spans="1:26" ht="19.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spans="1:26" ht="19.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spans="1:26" ht="19.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spans="1:26" ht="19.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spans="1:26" ht="19.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spans="1:26" ht="19.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spans="1:26" ht="19.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spans="1:26" ht="19.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spans="1:26" ht="19.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spans="1:26" ht="19.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spans="1:26" ht="19.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spans="1:26" ht="19.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spans="1:26" ht="19.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spans="1:26" ht="19.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spans="1:26" ht="19.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spans="1:26" ht="19.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spans="1:26" ht="19.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spans="1:26" ht="19.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spans="1:26" ht="19.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spans="1:26" ht="19.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spans="1:26" ht="19.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spans="1:26" ht="19.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spans="1:26" ht="19.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spans="1:26" ht="19.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spans="1:26" ht="19.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spans="1:26" ht="19.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spans="1:26" ht="19.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spans="1:26" ht="19.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spans="1:26" ht="19.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spans="1:26" ht="19.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spans="1:26" ht="19.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spans="1:26" ht="19.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spans="1:26" ht="19.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spans="1:26" ht="19.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spans="1:26" ht="19.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spans="1:26" ht="19.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spans="1:26" ht="19.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spans="1:26" ht="19.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spans="1:26" ht="19.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spans="1:26" ht="19.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spans="1:26" ht="19.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spans="1:26" ht="19.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spans="1:26" ht="19.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spans="1:26" ht="19.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spans="1:26" ht="19.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spans="1:26" ht="19.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spans="1:26" ht="19.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spans="1:26" ht="19.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spans="1:26" ht="19.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spans="1:26" ht="19.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spans="1:26" ht="19.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spans="1:26" ht="19.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spans="1:26" ht="19.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spans="1:26" ht="19.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spans="1:26" ht="19.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spans="1:26" ht="19.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spans="1:26" ht="19.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spans="1:26" ht="19.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spans="1:26" ht="19.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spans="1:26" ht="19.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spans="1:26" ht="19.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spans="1:26" ht="19.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spans="1:26" ht="19.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spans="1:26" ht="19.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spans="1:26" ht="19.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spans="1:26" ht="19.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spans="1:26" ht="19.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spans="1:26" ht="19.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spans="1:26" ht="19.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spans="1:26" ht="19.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spans="1:26" ht="19.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spans="1:26" ht="19.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spans="1:26" ht="19.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spans="1:26" ht="19.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spans="1:26" ht="19.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spans="1:26" ht="19.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spans="1:26" ht="19.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spans="1:26" ht="19.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spans="1:26" ht="19.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spans="1:26" ht="19.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spans="1:26" ht="19.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spans="1:26" ht="19.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spans="1:26" ht="19.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spans="1:26" ht="19.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spans="1:26" ht="19.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spans="1:26" ht="19.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spans="1:26" ht="19.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spans="1:26" ht="19.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spans="1:26" ht="19.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spans="1:26" ht="19.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spans="1:26" ht="19.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spans="1:26" ht="19.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spans="1:26" ht="19.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spans="1:26" ht="19.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spans="1:26" ht="19.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spans="1:26" ht="19.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spans="1:26" ht="19.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spans="1:26" ht="19.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spans="1:26" ht="19.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spans="1:26" ht="19.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spans="1:26" ht="19.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spans="1:26" ht="19.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spans="1:26" ht="19.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spans="1:26" ht="19.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spans="1:26" ht="19.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spans="1:26" ht="19.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spans="1:26" ht="19.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spans="1:26" ht="19.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spans="1:26" ht="19.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spans="1:26" ht="19.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spans="1:26" ht="19.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spans="1:26" ht="19.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spans="1:26" ht="19.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spans="1:26" ht="19.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spans="1:26" ht="19.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spans="1:26" ht="19.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spans="1:26" ht="19.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spans="1:26" ht="19.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spans="1:26" ht="19.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spans="1:26" ht="19.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spans="1:26" ht="19.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spans="1:26" ht="19.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spans="1:26" ht="19.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spans="1:26" ht="19.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spans="1:26" ht="19.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spans="1:26" ht="19.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spans="1:26" ht="19.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spans="1:26" ht="19.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spans="1:26" ht="19.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70.42578125" customWidth="1"/>
    <col min="2" max="3" width="9.140625" customWidth="1"/>
    <col min="4" max="4" width="12.85546875" customWidth="1"/>
    <col min="5" max="26" width="9.140625" customWidth="1"/>
  </cols>
  <sheetData>
    <row r="1" spans="1:26" ht="12.75" customHeight="1" x14ac:dyDescent="0.25">
      <c r="A1" s="237" t="s">
        <v>244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2.75" customHeight="1" x14ac:dyDescent="0.2">
      <c r="A2" s="238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75" customHeight="1" x14ac:dyDescent="0.2">
      <c r="A3" s="238" t="s">
        <v>245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12.75" customHeight="1" x14ac:dyDescent="0.2">
      <c r="A4" s="238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2.75" customHeight="1" x14ac:dyDescent="0.2">
      <c r="A5" s="238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2.75" customHeight="1" x14ac:dyDescent="0.2">
      <c r="A6" s="238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2.75" customHeight="1" x14ac:dyDescent="0.2">
      <c r="A7" s="238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2.75" customHeight="1" x14ac:dyDescent="0.2">
      <c r="A8" s="23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2.75" customHeight="1" x14ac:dyDescent="0.2">
      <c r="A9" s="238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ht="12.75" customHeight="1" x14ac:dyDescent="0.2">
      <c r="A10" s="238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ht="12.75" customHeight="1" x14ac:dyDescent="0.2">
      <c r="A11" s="238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ht="12.75" customHeight="1" x14ac:dyDescent="0.35">
      <c r="A12" s="239" t="s">
        <v>246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2.75" customHeight="1" x14ac:dyDescent="0.2">
      <c r="A13" s="239" t="s">
        <v>247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2.75" customHeight="1" x14ac:dyDescent="0.2">
      <c r="A14" s="239" t="s">
        <v>248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ht="12.75" customHeight="1" x14ac:dyDescent="0.35">
      <c r="A15" s="239" t="s">
        <v>249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12.75" customHeight="1" x14ac:dyDescent="0.35">
      <c r="A16" s="239" t="s">
        <v>250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2.75" customHeight="1" x14ac:dyDescent="0.2">
      <c r="A17" s="240" t="s">
        <v>251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2.75" customHeight="1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2.75" customHeight="1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2.75" customHeight="1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2.75" customHeight="1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2.75" customHeight="1" x14ac:dyDescent="0.2">
      <c r="A23" s="134"/>
      <c r="B23" s="134"/>
      <c r="C23" s="134"/>
      <c r="D23" s="134"/>
      <c r="E23" s="178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2.75" customHeight="1" x14ac:dyDescent="0.2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2.75" customHeight="1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ht="12.75" customHeight="1" x14ac:dyDescent="0.2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ht="12.75" customHeigh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2.75" customHeight="1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:26" ht="12.75" customHeight="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2.75" customHeight="1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2.75" customHeight="1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2.75" customHeight="1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ht="12.75" customHeight="1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ht="12.75" customHeight="1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spans="1:26" ht="12.75" customHeight="1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26" ht="12.75" customHeight="1" x14ac:dyDescent="0.2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2.75" customHeight="1" x14ac:dyDescent="0.2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2.75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ht="12.75" customHeight="1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ht="12.75" customHeight="1" x14ac:dyDescent="0.2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ht="12.75" customHeight="1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ht="12.75" customHeight="1" x14ac:dyDescent="0.2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2.75" customHeight="1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6" ht="12.75" customHeight="1" x14ac:dyDescent="0.2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spans="1:26" ht="12.75" customHeight="1" x14ac:dyDescent="0.2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spans="1:26" ht="12.75" customHeight="1" x14ac:dyDescent="0.2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:26" ht="12.75" customHeight="1" x14ac:dyDescent="0.2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2.75" customHeight="1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spans="1:26" ht="12.75" customHeight="1" x14ac:dyDescent="0.2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:26" ht="12.75" customHeight="1" x14ac:dyDescent="0.2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:26" ht="12.75" customHeight="1" x14ac:dyDescent="0.2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spans="1:26" ht="12.75" customHeight="1" x14ac:dyDescent="0.2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spans="1:26" ht="12.75" customHeight="1" x14ac:dyDescent="0.2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spans="1:26" ht="12.75" customHeight="1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spans="1:26" ht="12.75" customHeight="1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spans="1:26" ht="12.75" customHeight="1" x14ac:dyDescent="0.2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spans="1:26" ht="12.75" customHeight="1" x14ac:dyDescent="0.2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spans="1:26" ht="12.7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spans="1:26" ht="12.75" customHeight="1" x14ac:dyDescent="0.2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spans="1:26" ht="12.75" customHeight="1" x14ac:dyDescent="0.2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spans="1:26" ht="12.75" customHeight="1" x14ac:dyDescent="0.2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spans="1:26" ht="12.75" customHeight="1" x14ac:dyDescent="0.2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spans="1:26" ht="12.75" customHeight="1" x14ac:dyDescent="0.2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:26" ht="12.75" customHeight="1" x14ac:dyDescent="0.2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spans="1:26" ht="12.75" customHeight="1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spans="1:26" ht="12.75" customHeight="1" x14ac:dyDescent="0.2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spans="1:26" ht="12.75" customHeight="1" x14ac:dyDescent="0.2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spans="1:26" ht="12.75" customHeight="1" x14ac:dyDescent="0.2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spans="1:26" ht="12.75" customHeight="1" x14ac:dyDescent="0.2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spans="1:26" ht="12.75" customHeight="1" x14ac:dyDescent="0.2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spans="1:26" ht="12.75" customHeight="1" x14ac:dyDescent="0.2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spans="1:26" ht="12.75" customHeight="1" x14ac:dyDescent="0.2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spans="1:26" ht="12.75" customHeight="1" x14ac:dyDescent="0.2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spans="1:26" ht="12.75" customHeight="1" x14ac:dyDescent="0.2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spans="1:26" ht="12.7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spans="1:26" ht="12.7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spans="1:26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spans="1:26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spans="1:26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spans="1:26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spans="1:26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spans="1:26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spans="1:26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spans="1:26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:26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spans="1:26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spans="1:26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spans="1:26" ht="12.75" customHeight="1" x14ac:dyDescent="0.2">
      <c r="A89" s="134" t="s">
        <v>190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spans="1:26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spans="1:26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spans="1:26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spans="1:26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spans="1:26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spans="1:26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spans="1:26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spans="1:26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spans="1:26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spans="1:26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spans="1:26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spans="1:26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spans="1:26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spans="1:26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spans="1:26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spans="1:26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spans="1:26" ht="12.7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spans="1:26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spans="1:26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spans="1:26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spans="1:26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spans="1:26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spans="1:26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spans="1:26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:26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spans="1:26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spans="1:26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spans="1:26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spans="1:26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spans="1:26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spans="1:26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spans="1:26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spans="1:26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spans="1:26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spans="1:26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spans="1:26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spans="1:26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spans="1:26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spans="1:26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spans="1:26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spans="1:26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spans="1:26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spans="1:26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spans="1:26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spans="1:26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spans="1:26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spans="1:26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spans="1:26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spans="1:26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spans="1:26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spans="1:26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spans="1:26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spans="1:26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spans="1:26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spans="1:26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spans="1:26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spans="1:26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spans="1:26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spans="1:26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spans="1:26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spans="1:26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spans="1:26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spans="1:26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spans="1:26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spans="1:26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spans="1:26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spans="1:26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spans="1:26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spans="1:26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spans="1:26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spans="1:26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spans="1:26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spans="1:26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spans="1:26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spans="1:26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spans="1:26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spans="1:26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spans="1:26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spans="1:26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spans="1:26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spans="1:26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spans="1:26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spans="1:26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spans="1:26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spans="1:26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spans="1:26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spans="1:26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spans="1:26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spans="1:26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spans="1:26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spans="1:26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spans="1:26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spans="1:26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spans="1:26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spans="1:26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spans="1:26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spans="1:26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spans="1:26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spans="1:26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spans="1:26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spans="1:26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spans="1:26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spans="1:26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spans="1:26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spans="1:26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spans="1:26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spans="1:26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spans="1:26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spans="1:26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spans="1:26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spans="1:26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spans="1:26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spans="1:26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spans="1:26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spans="1:26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spans="1:26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spans="1:26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spans="1:26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spans="1:26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spans="1:26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spans="1:26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spans="1:26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spans="1:26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spans="1:26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spans="1:26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spans="1:26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spans="1:26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spans="1:26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spans="1:26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spans="1:26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spans="1:26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spans="1:26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spans="1:26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spans="1:26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spans="1:26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spans="1:26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spans="1:26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spans="1:26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spans="1:26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spans="1:26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spans="1:26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spans="1:26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spans="1:26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spans="1:26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spans="1:26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spans="1:26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spans="1:26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spans="1:26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spans="1:26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spans="1:26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spans="1:26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spans="1:26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spans="1:26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spans="1:26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spans="1:26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spans="1:26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spans="1:26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spans="1:26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spans="1:26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spans="1:26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spans="1:26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spans="1:26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spans="1:26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spans="1:26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spans="1:26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spans="1:26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spans="1:26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spans="1:26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spans="1:26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spans="1:26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spans="1:26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spans="1:26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spans="1:26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spans="1:26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spans="1:26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spans="1:26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spans="1:26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spans="1:26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spans="1:26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spans="1:26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spans="1:26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spans="1:26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spans="1:26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spans="1:26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spans="1:26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spans="1:26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spans="1:26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spans="1:26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spans="1:26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spans="1:26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spans="1:26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spans="1:26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spans="1:26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spans="1:26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spans="1:26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spans="1:26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spans="1:26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spans="1:26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spans="1:26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spans="1:26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spans="1:26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spans="1:26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spans="1:26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spans="1:26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spans="1:26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spans="1:26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spans="1:26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spans="1:26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spans="1:26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spans="1:26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spans="1:26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spans="1:26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spans="1:26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spans="1:26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spans="1:26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spans="1:26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spans="1:26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spans="1:26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spans="1:26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spans="1:26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spans="1:26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spans="1:26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spans="1:26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spans="1:26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spans="1:26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spans="1:26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spans="1:26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spans="1:26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spans="1:26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spans="1:26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spans="1:26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spans="1:26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spans="1:26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spans="1:26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spans="1:26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spans="1:26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spans="1:26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spans="1:26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spans="1:26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spans="1:26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spans="1:26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spans="1:26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spans="1:26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spans="1:26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spans="1:26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spans="1:26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spans="1:26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spans="1:26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spans="1:26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spans="1:26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spans="1:26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spans="1:26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spans="1:26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spans="1:26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spans="1:26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spans="1:26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spans="1:26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spans="1:26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spans="1:26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spans="1:26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spans="1:26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spans="1:26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spans="1:26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spans="1:26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spans="1:26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spans="1:26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spans="1:26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spans="1:26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spans="1:26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spans="1:26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spans="1:26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spans="1:26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spans="1:26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spans="1:26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spans="1:26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spans="1:26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spans="1:26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spans="1:26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spans="1:26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spans="1:26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spans="1:26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spans="1:26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spans="1:26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spans="1:26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spans="1:26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spans="1:26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spans="1:26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spans="1:26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spans="1:26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spans="1:26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spans="1:26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spans="1:26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spans="1:26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spans="1:26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spans="1:26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spans="1:26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spans="1:26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spans="1:26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spans="1:26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spans="1:26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spans="1:26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spans="1:26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spans="1:26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spans="1:26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spans="1:26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spans="1:26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spans="1:26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spans="1:26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spans="1:26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spans="1:26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spans="1:26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spans="1:26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spans="1:26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spans="1:26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spans="1:26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spans="1:26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spans="1:26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spans="1:26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spans="1:26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spans="1:26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spans="1:26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spans="1:26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spans="1:26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spans="1:26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spans="1:26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spans="1:26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spans="1:26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spans="1:26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spans="1:26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spans="1:26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spans="1:26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spans="1:26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spans="1:26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spans="1:26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spans="1:26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spans="1:26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spans="1:26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spans="1:26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spans="1:26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spans="1:26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spans="1:26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spans="1:26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spans="1:26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spans="1:26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spans="1:26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spans="1:26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spans="1:26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spans="1:26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spans="1:26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spans="1:26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spans="1:26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spans="1:26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spans="1:26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spans="1:26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spans="1:26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spans="1:26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spans="1:26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spans="1:26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spans="1:26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spans="1:26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spans="1:26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spans="1:26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spans="1:26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spans="1:26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spans="1:26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spans="1:26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spans="1:26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spans="1:26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spans="1:26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spans="1:26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spans="1:26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spans="1:26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spans="1:26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spans="1:26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spans="1:26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spans="1:26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spans="1:26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spans="1:26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spans="1:26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spans="1:26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spans="1:26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spans="1:26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spans="1:26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spans="1:26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spans="1:26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spans="1:26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spans="1:26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spans="1:26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spans="1:26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spans="1:26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spans="1:26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spans="1:26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spans="1:26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spans="1:26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spans="1:26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spans="1:26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spans="1:26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spans="1:26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spans="1:26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spans="1:26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spans="1:26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spans="1:26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spans="1:26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spans="1:26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spans="1:26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spans="1:26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spans="1:26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spans="1:26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spans="1:26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spans="1:26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spans="1:26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spans="1:26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spans="1:26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spans="1:26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spans="1:26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spans="1:26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spans="1:26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spans="1:26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spans="1:26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spans="1:26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spans="1:26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spans="1:26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spans="1:26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spans="1:26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spans="1:26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spans="1:26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spans="1:26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spans="1:26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spans="1:26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spans="1:26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spans="1:26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spans="1:26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spans="1:26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spans="1:26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spans="1:26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spans="1:26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spans="1:26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spans="1:26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spans="1:26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spans="1:26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spans="1:26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spans="1:26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spans="1:26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spans="1:26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spans="1:26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spans="1:26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spans="1:26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spans="1:26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spans="1:26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spans="1:26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spans="1:26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spans="1:26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spans="1:26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spans="1:26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spans="1:26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spans="1:26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spans="1:26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spans="1:26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spans="1:26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spans="1:26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spans="1:26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spans="1:26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spans="1:26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spans="1:26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spans="1:26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spans="1:26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spans="1:26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spans="1:26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spans="1:26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spans="1:26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spans="1:26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spans="1:26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spans="1:26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spans="1:26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spans="1:26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spans="1:26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spans="1:26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spans="1:26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spans="1:26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spans="1:26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spans="1:26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spans="1:26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spans="1:26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spans="1:26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spans="1:26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spans="1:26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spans="1:26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spans="1:26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spans="1:26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spans="1:26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spans="1:26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spans="1:26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spans="1:26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spans="1:26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spans="1:26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spans="1:26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spans="1:26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spans="1:26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spans="1:26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spans="1:26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spans="1:26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spans="1:26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spans="1:26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spans="1:26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spans="1:26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spans="1:26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spans="1:26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spans="1:26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spans="1:26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spans="1:26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spans="1:26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spans="1:26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spans="1:26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spans="1:26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spans="1:26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spans="1:26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spans="1:26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spans="1:26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spans="1:26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spans="1:26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spans="1:26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spans="1:26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spans="1:26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spans="1:26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spans="1:26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spans="1:26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spans="1:26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spans="1:26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spans="1:26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spans="1:26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spans="1:26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spans="1:26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spans="1:26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spans="1:26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spans="1:26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spans="1:26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spans="1:26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spans="1:26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spans="1:26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spans="1:26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spans="1:26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spans="1:26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spans="1:26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spans="1:26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spans="1:26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spans="1:26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spans="1:26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spans="1:26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spans="1:26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spans="1:26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spans="1:26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spans="1:26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spans="1:26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spans="1:26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spans="1:26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spans="1:26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spans="1:26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spans="1:26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spans="1:26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spans="1:26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spans="1:26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spans="1:26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spans="1:26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spans="1:26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spans="1:26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spans="1:26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spans="1:26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spans="1:26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spans="1:26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spans="1:26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spans="1:26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spans="1:26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spans="1:26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spans="1:26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spans="1:26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spans="1:26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spans="1:26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spans="1:26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spans="1:26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spans="1:26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spans="1:26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spans="1:26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spans="1:26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spans="1:26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spans="1:26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spans="1:26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spans="1:26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spans="1:26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spans="1:26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spans="1:26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spans="1:26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spans="1:26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spans="1:26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spans="1:26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spans="1:26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spans="1:26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spans="1:26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spans="1:26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spans="1:26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spans="1:26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spans="1:26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spans="1:26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spans="1:26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spans="1:26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spans="1:26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spans="1:26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spans="1:26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spans="1:26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spans="1:26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spans="1:26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spans="1:26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spans="1:26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spans="1:26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spans="1:26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spans="1:26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spans="1:26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spans="1:26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spans="1:26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spans="1:26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spans="1:26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spans="1:26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spans="1:26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spans="1:26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spans="1:26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spans="1:26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spans="1:26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spans="1:26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spans="1:26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spans="1:26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spans="1:26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spans="1:26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spans="1:26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spans="1:26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spans="1:26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spans="1:26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spans="1:26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spans="1:26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spans="1:26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spans="1:26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spans="1:26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spans="1:26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spans="1:26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spans="1:26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spans="1:26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spans="1:26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spans="1:26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spans="1:26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spans="1:26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spans="1:26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spans="1:26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spans="1:26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spans="1:26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spans="1:26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spans="1:26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spans="1:26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spans="1:26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spans="1:26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spans="1:26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spans="1:26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spans="1:26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spans="1:26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spans="1:26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spans="1:26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spans="1:26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spans="1:26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spans="1:26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spans="1:26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spans="1:26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spans="1:26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spans="1:26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spans="1:26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spans="1:26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spans="1:26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spans="1:26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spans="1:26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spans="1:26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spans="1:26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spans="1:26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spans="1:26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spans="1:26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spans="1:26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spans="1:26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spans="1:26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spans="1:26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spans="1:26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spans="1:26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spans="1:26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spans="1:26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spans="1:26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spans="1:26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spans="1:26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spans="1:26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spans="1:26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spans="1:26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spans="1:26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spans="1:26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spans="1:26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spans="1:26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spans="1:26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spans="1:26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spans="1:26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spans="1:26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spans="1:26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spans="1:26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spans="1:26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spans="1:26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spans="1:26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spans="1:26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spans="1:26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spans="1:26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spans="1:26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spans="1:26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spans="1:26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spans="1:26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spans="1:26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spans="1:26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spans="1:26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spans="1:26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spans="1:26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spans="1:26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spans="1:26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spans="1:26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spans="1:26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spans="1:26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spans="1:26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spans="1:26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spans="1:26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spans="1:26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spans="1:26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spans="1:26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spans="1:26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spans="1:26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spans="1:26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spans="1:26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spans="1:26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spans="1:26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spans="1:26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spans="1:26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spans="1:26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spans="1:26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spans="1:26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spans="1:26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spans="1:26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spans="1:26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spans="1:26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spans="1:26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spans="1:26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spans="1:26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spans="1:26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spans="1:26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spans="1:26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spans="1:26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spans="1:26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spans="1:26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spans="1:26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spans="1:26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spans="1:26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spans="1:26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spans="1:26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spans="1:26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spans="1:26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spans="1:26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spans="1:26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spans="1:26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spans="1:26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spans="1:26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spans="1:26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spans="1:26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spans="1:26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spans="1:26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spans="1:26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spans="1:26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spans="1:26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spans="1:26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spans="1:26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spans="1:26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spans="1:26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spans="1:26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spans="1:26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spans="1:26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spans="1:26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spans="1:26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spans="1:26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spans="1:26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spans="1:26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spans="1:26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spans="1:26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spans="1:26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spans="1:26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spans="1:26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spans="1:26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spans="1:26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spans="1:26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spans="1:26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spans="1:26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spans="1:26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spans="1:26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spans="1:26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spans="1:26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spans="1:26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spans="1:26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spans="1:26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spans="1:26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spans="1:26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spans="1:26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spans="1:26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spans="1:26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spans="1:26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spans="1:26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spans="1:26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spans="1:26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spans="1:26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spans="1:26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spans="1:26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spans="1:26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spans="1:26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spans="1:26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spans="1:26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spans="1:26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spans="1:26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spans="1:26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spans="1:26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spans="1:26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spans="1:26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spans="1:26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spans="1:26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spans="1:26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spans="1:26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spans="1:26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spans="1:26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spans="1:26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spans="1:26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spans="1:26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spans="1:26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spans="1:26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spans="1:26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spans="1:26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spans="1:26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spans="1:26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spans="1:26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spans="1:26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spans="1:26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spans="1:26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spans="1:26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spans="1:26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spans="1:26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spans="1:26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spans="1:26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spans="1:26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spans="1:26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spans="1:26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spans="1:26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spans="1:26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spans="1:26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spans="1:26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spans="1:26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spans="1:26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spans="1:26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spans="1:26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spans="1:26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spans="1:26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spans="1:26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spans="1:26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spans="1:26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spans="1:26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spans="1:26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spans="1:26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spans="1:26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spans="1:26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spans="1:26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spans="1:26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spans="1:26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spans="1:26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spans="1:26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spans="1:26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spans="1:26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spans="1:26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spans="1:26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spans="1:26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spans="1:26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spans="1:26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spans="1:26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spans="1:26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spans="1:26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spans="1:26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spans="1:26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spans="1:26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spans="1:26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spans="1:26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spans="1:26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spans="1:26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spans="1:26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spans="1:26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spans="1:26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spans="1:26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spans="1:26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spans="1:26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spans="1:26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spans="1:26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spans="1:26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spans="1:26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spans="1:26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spans="1:26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spans="1:26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spans="1:26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pageMargins left="0.90551181102362199" right="0.51181102362204722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Trator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pmsap</cp:lastModifiedBy>
  <cp:lastPrinted>2022-03-29T14:47:21Z</cp:lastPrinted>
  <dcterms:created xsi:type="dcterms:W3CDTF">2000-12-13T10:02:50Z</dcterms:created>
  <dcterms:modified xsi:type="dcterms:W3CDTF">2022-06-15T16:57:47Z</dcterms:modified>
</cp:coreProperties>
</file>