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40" windowWidth="17895" windowHeight="5325"/>
  </bookViews>
  <sheets>
    <sheet name="Oficial de manutenção LP" sheetId="1" r:id="rId1"/>
    <sheet name="MÓDULO 5 - INSUMOS DIVERSOS" sheetId="2" r:id="rId2"/>
  </sheets>
  <calcPr calcId="144525"/>
  <extLst>
    <ext uri="GoogleSheetsCustomDataVersion1">
      <go:sheetsCustomData xmlns:go="http://customooxmlschemas.google.com/" r:id="rId6" roundtripDataSignature="AMtx7mgHJz1QTEVuGcl8QAJo880IPUjg8g=="/>
    </ext>
  </extLst>
</workbook>
</file>

<file path=xl/calcChain.xml><?xml version="1.0" encoding="utf-8"?>
<calcChain xmlns="http://schemas.openxmlformats.org/spreadsheetml/2006/main">
  <c r="D55" i="2" l="1"/>
  <c r="E55" i="2" s="1"/>
  <c r="D54" i="2"/>
  <c r="E54" i="2" s="1"/>
  <c r="D53" i="2"/>
  <c r="E53" i="2" s="1"/>
  <c r="D52" i="2"/>
  <c r="E52" i="2" s="1"/>
  <c r="D51" i="2"/>
  <c r="E51" i="2" s="1"/>
  <c r="D50" i="2"/>
  <c r="E50" i="2" s="1"/>
  <c r="D49" i="2"/>
  <c r="E49" i="2" s="1"/>
  <c r="D48" i="2"/>
  <c r="E48" i="2" s="1"/>
  <c r="D47" i="2"/>
  <c r="E47" i="2" s="1"/>
  <c r="D46" i="2"/>
  <c r="E46" i="2" s="1"/>
  <c r="D45" i="2"/>
  <c r="E45" i="2" s="1"/>
  <c r="D44" i="2"/>
  <c r="E44" i="2" s="1"/>
  <c r="D43" i="2"/>
  <c r="E43" i="2" s="1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6" i="2"/>
  <c r="E36" i="2" s="1"/>
  <c r="D35" i="2"/>
  <c r="E35" i="2" s="1"/>
  <c r="D34" i="2"/>
  <c r="E34" i="2" s="1"/>
  <c r="D33" i="2"/>
  <c r="E33" i="2" s="1"/>
  <c r="D32" i="2"/>
  <c r="E32" i="2" s="1"/>
  <c r="D31" i="2"/>
  <c r="E31" i="2" s="1"/>
  <c r="D30" i="2"/>
  <c r="E30" i="2" s="1"/>
  <c r="D29" i="2"/>
  <c r="E29" i="2" s="1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9" i="2"/>
  <c r="E9" i="2" s="1"/>
  <c r="D8" i="2"/>
  <c r="E8" i="2" s="1"/>
  <c r="D7" i="2"/>
  <c r="E7" i="2" s="1"/>
  <c r="D6" i="2"/>
  <c r="E6" i="2" s="1"/>
  <c r="D5" i="2"/>
  <c r="E5" i="2" s="1"/>
  <c r="D4" i="2"/>
  <c r="E4" i="2" s="1"/>
  <c r="D165" i="1"/>
  <c r="D166" i="1" s="1"/>
  <c r="E144" i="1"/>
  <c r="E143" i="1"/>
  <c r="E142" i="1"/>
  <c r="E141" i="1"/>
  <c r="E140" i="1"/>
  <c r="E139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83" i="1"/>
  <c r="E82" i="1"/>
  <c r="E81" i="1"/>
  <c r="E86" i="1" s="1"/>
  <c r="E92" i="1" s="1"/>
  <c r="D77" i="1"/>
  <c r="D105" i="1" s="1"/>
  <c r="D75" i="1"/>
  <c r="D62" i="1"/>
  <c r="E56" i="1"/>
  <c r="E55" i="1"/>
  <c r="E57" i="1" s="1"/>
  <c r="E44" i="1"/>
  <c r="C27" i="1"/>
  <c r="E22" i="1"/>
  <c r="E149" i="1" l="1"/>
  <c r="E63" i="1"/>
  <c r="E62" i="1"/>
  <c r="E64" i="1" s="1"/>
  <c r="E56" i="2"/>
  <c r="E145" i="1"/>
  <c r="E153" i="1" s="1"/>
  <c r="E173" i="1" s="1"/>
  <c r="E136" i="1"/>
  <c r="E169" i="1"/>
  <c r="E90" i="1" l="1"/>
  <c r="E110" i="1"/>
  <c r="E111" i="1" s="1"/>
  <c r="E116" i="1" s="1"/>
  <c r="C67" i="1"/>
  <c r="E100" i="1"/>
  <c r="E106" i="1"/>
  <c r="E74" i="1" l="1"/>
  <c r="E68" i="1"/>
  <c r="E75" i="1" s="1"/>
  <c r="E76" i="1"/>
  <c r="E71" i="1"/>
  <c r="E70" i="1"/>
  <c r="E69" i="1"/>
  <c r="E73" i="1"/>
  <c r="E72" i="1"/>
  <c r="E77" i="1" l="1"/>
  <c r="E91" i="1" s="1"/>
  <c r="E93" i="1" s="1"/>
  <c r="E170" i="1" l="1"/>
  <c r="E150" i="1"/>
  <c r="E104" i="1"/>
  <c r="E98" i="1"/>
  <c r="E99" i="1" l="1"/>
  <c r="E101" i="1"/>
  <c r="E105" i="1"/>
  <c r="E107" i="1"/>
  <c r="E115" i="1" s="1"/>
  <c r="E114" i="1" l="1"/>
  <c r="E117" i="1" s="1"/>
  <c r="A123" i="1"/>
  <c r="F134" i="1" l="1"/>
  <c r="F131" i="1"/>
  <c r="F128" i="1"/>
  <c r="F125" i="1"/>
  <c r="F133" i="1"/>
  <c r="F130" i="1"/>
  <c r="F127" i="1"/>
  <c r="F124" i="1"/>
  <c r="F132" i="1"/>
  <c r="F135" i="1"/>
  <c r="F126" i="1"/>
  <c r="F129" i="1"/>
  <c r="E171" i="1"/>
  <c r="E151" i="1"/>
  <c r="F136" i="1" l="1"/>
  <c r="E152" i="1" s="1"/>
  <c r="E172" i="1" s="1"/>
  <c r="E154" i="1"/>
  <c r="C158" i="1" l="1"/>
  <c r="E158" i="1" s="1"/>
  <c r="C159" i="1"/>
  <c r="E159" i="1" l="1"/>
  <c r="C163" i="1" s="1"/>
  <c r="E163" i="1" s="1"/>
  <c r="C164" i="1"/>
  <c r="E164" i="1" s="1"/>
  <c r="C162" i="1" l="1"/>
  <c r="E162" i="1" s="1"/>
  <c r="E165" i="1" s="1"/>
  <c r="E166" i="1" s="1"/>
  <c r="E174" i="1" s="1"/>
  <c r="E175" i="1" s="1"/>
</calcChain>
</file>

<file path=xl/sharedStrings.xml><?xml version="1.0" encoding="utf-8"?>
<sst xmlns="http://schemas.openxmlformats.org/spreadsheetml/2006/main" count="246" uniqueCount="194">
  <si>
    <t>PREFEITURA MUNICIPAL DE SANTO ANTÔNIO DA PATRULHA - RS</t>
  </si>
  <si>
    <t>PLANILHA - OFICIAL DE MANUTENÇÃO PREDIAL - SEMED</t>
  </si>
  <si>
    <t>Dados da CCT</t>
  </si>
  <si>
    <t>Município/UF</t>
  </si>
  <si>
    <t>Santo Antônio da Patrulha/RS</t>
  </si>
  <si>
    <t>Serviço</t>
  </si>
  <si>
    <t>Manutenção predial</t>
  </si>
  <si>
    <t>Categoria</t>
  </si>
  <si>
    <t>Auxiliar de manutenção predial</t>
  </si>
  <si>
    <t>CBO</t>
  </si>
  <si>
    <t>CCT nº</t>
  </si>
  <si>
    <t>RS005021/2021</t>
  </si>
  <si>
    <t>Data base</t>
  </si>
  <si>
    <t>1º de janeiro</t>
  </si>
  <si>
    <t xml:space="preserve">Salário normativo </t>
  </si>
  <si>
    <t>Vale-alimentação</t>
  </si>
  <si>
    <t>nº</t>
  </si>
  <si>
    <t>valor</t>
  </si>
  <si>
    <t>desconto</t>
  </si>
  <si>
    <t>Vale-transporte</t>
  </si>
  <si>
    <t>desconto prop 12x36</t>
  </si>
  <si>
    <t>Plano de benefício social familiar</t>
  </si>
  <si>
    <t>Dados p/cálculo de Aviso-Prévio</t>
  </si>
  <si>
    <t>Dias aviso ano</t>
  </si>
  <si>
    <t>Dias proporc.</t>
  </si>
  <si>
    <t>Dias aviso</t>
  </si>
  <si>
    <t>Nº meses  no emprego</t>
  </si>
  <si>
    <t>Percentuais por tipo de desligamento</t>
  </si>
  <si>
    <t>Sem justa causa indenizado</t>
  </si>
  <si>
    <t>Sem justa causa trabalhado</t>
  </si>
  <si>
    <t>Com justa causa</t>
  </si>
  <si>
    <t>Outros tipos de desligamento</t>
  </si>
  <si>
    <t>Dados para cálculo de reposição de profissional ausente</t>
  </si>
  <si>
    <t>Incidência Anual</t>
  </si>
  <si>
    <t>Duração Legal da Ausência</t>
  </si>
  <si>
    <t>Proporção de  Dias afetados</t>
  </si>
  <si>
    <t>Dias de Reposição</t>
  </si>
  <si>
    <t>Férias</t>
  </si>
  <si>
    <t>Ausência justificada</t>
  </si>
  <si>
    <t>Acidente trabalho</t>
  </si>
  <si>
    <t>Afastamento por doença</t>
  </si>
  <si>
    <t>Consulta médica filho</t>
  </si>
  <si>
    <t>Óbitos na família</t>
  </si>
  <si>
    <t>Casamento</t>
  </si>
  <si>
    <t>Doação de sangue</t>
  </si>
  <si>
    <t>Testemunho</t>
  </si>
  <si>
    <t>Paternidade</t>
  </si>
  <si>
    <t>Maternidade</t>
  </si>
  <si>
    <t>Consulta pré-natal</t>
  </si>
  <si>
    <t>Total</t>
  </si>
  <si>
    <t>Nº de meses de execução contratual</t>
  </si>
  <si>
    <t>Dias úteis no ano</t>
  </si>
  <si>
    <t>Média de dias mês</t>
  </si>
  <si>
    <t>Nº de horas mês</t>
  </si>
  <si>
    <t>PLANILHA DE CUSTOS -AUX. MAN. PREDIAL 200H - SIMPLES NACIONAL</t>
  </si>
  <si>
    <t>MÓDULO I - COMPOSIÇÃO DA REMUNERAÇÃO</t>
  </si>
  <si>
    <t>horas</t>
  </si>
  <si>
    <t>%</t>
  </si>
  <si>
    <t>R$</t>
  </si>
  <si>
    <t>Salário-Base</t>
  </si>
  <si>
    <t>Insalubridade</t>
  </si>
  <si>
    <t>Total do Módulo 1</t>
  </si>
  <si>
    <t>MÓDULO 2 - ENCARGOS E BENEFÍCIOS ANUAIS, MENSAIS E DIÁRIOS</t>
  </si>
  <si>
    <t>Submódulo 2.1 - 13º Salário e Adicional de Férias</t>
  </si>
  <si>
    <t xml:space="preserve"> 13º Salário </t>
  </si>
  <si>
    <t>Adicional de férias</t>
  </si>
  <si>
    <t>Submódulo 2.2 - Encargos Previdenciários, (FGTS) e outras contribuições</t>
  </si>
  <si>
    <t>Base de cálculo (M1+2.1)</t>
  </si>
  <si>
    <t>INSS</t>
  </si>
  <si>
    <t>Salário Educação</t>
  </si>
  <si>
    <t>SAT</t>
  </si>
  <si>
    <t>SESC ou SESI</t>
  </si>
  <si>
    <t>SENAI - SENAC</t>
  </si>
  <si>
    <t>SEBRAE</t>
  </si>
  <si>
    <t>INCRA</t>
  </si>
  <si>
    <t>Subtotal -  GPS</t>
  </si>
  <si>
    <t>FGTS</t>
  </si>
  <si>
    <t>Submódulo 2.3 - Benefícios Mensais e Diários</t>
  </si>
  <si>
    <t>Transporte</t>
  </si>
  <si>
    <t>Auxílio-Refeição/Alimentação</t>
  </si>
  <si>
    <t>Plano de Benefício Social Familiar</t>
  </si>
  <si>
    <t>Seguro</t>
  </si>
  <si>
    <t>Outros (especificar)</t>
  </si>
  <si>
    <t>Resumo do Módulo 2 - Encargos e Benefícios anuais, mensais e diários</t>
  </si>
  <si>
    <t>Submódulo 2.2 - Encargos Previdenciários e FGTS</t>
  </si>
  <si>
    <t>Total do Módulo 2</t>
  </si>
  <si>
    <t>MÓDULO 3 - PROVISÃO PARA RESCISÃO</t>
  </si>
  <si>
    <t>Submódulo 3.1. Aviso Prévio Indenizado</t>
  </si>
  <si>
    <t>Aviso Prévio Indenizado</t>
  </si>
  <si>
    <t>Incidência do FGTS sobre o Aviso Prévio Indenizado</t>
  </si>
  <si>
    <t>Multa do FGTS e contribuição social sobre o Aviso Prévio Indenizado</t>
  </si>
  <si>
    <t>Subtotal do Submódulo 3.1</t>
  </si>
  <si>
    <t>Submódulo 3.2. Aviso Prévio Trabalhado</t>
  </si>
  <si>
    <t>Aviso Prévio Trabalhado</t>
  </si>
  <si>
    <t>Incidência dos encargos do submódulo 2.2 sobre o Aviso Prévio Trabalhado</t>
  </si>
  <si>
    <t>Multa do FGTS e contribuição social sobre o Aviso Prévio Trabalhado</t>
  </si>
  <si>
    <t>Subtotal do Submódulo 3.2</t>
  </si>
  <si>
    <t>Submódulo 3.3. - Demissão por Justa Causa</t>
  </si>
  <si>
    <t>Desconto do Submódulo 2.1</t>
  </si>
  <si>
    <t>Subtotal do Submódulo 3.3.</t>
  </si>
  <si>
    <t>Resumo do Módulo 3 - Provisão para rescisão</t>
  </si>
  <si>
    <t>Total do Módulo 3</t>
  </si>
  <si>
    <t>MÓDULO 4 - CUSTO DE REPOSIÇÃO DO PROFISSIONAL AUSENTE</t>
  </si>
  <si>
    <t xml:space="preserve"> Ausências Legais</t>
  </si>
  <si>
    <t>Dados para cálculo de profissional ausente</t>
  </si>
  <si>
    <t>40h</t>
  </si>
  <si>
    <t>Valor</t>
  </si>
  <si>
    <t>MÓDULO 5 - INSUMOS DIVERSOS</t>
  </si>
  <si>
    <t>Valor unit.</t>
  </si>
  <si>
    <t>Durabilidade (meses)</t>
  </si>
  <si>
    <t>calça</t>
  </si>
  <si>
    <t>camiseta manga longa</t>
  </si>
  <si>
    <t>camiseta manga curta</t>
  </si>
  <si>
    <t>bota de segurança</t>
  </si>
  <si>
    <t>óculos de proteção</t>
  </si>
  <si>
    <t>luvas de proteção</t>
  </si>
  <si>
    <t xml:space="preserve">Total </t>
  </si>
  <si>
    <t>TOTAL DOS MÓDULOS 1 a 5</t>
  </si>
  <si>
    <t>Módulo 1 - Composição da Remuneração</t>
  </si>
  <si>
    <t>Módulo 2 - Encargos e Benefícios Anuais, Mensais e Diários</t>
  </si>
  <si>
    <t>Módulo 3 - Provisão para Rescisão</t>
  </si>
  <si>
    <t>Módulo 4 - Reposição do Profissional Ausente</t>
  </si>
  <si>
    <t>Módulo 5 - Insumos Diversos</t>
  </si>
  <si>
    <t>MÓDULO 6 - BDI - CUSTOS INDIRETOS, LUCRO E TRIBUTOS</t>
  </si>
  <si>
    <t>Base cálculo</t>
  </si>
  <si>
    <t>Percentual</t>
  </si>
  <si>
    <t>Custos indiretos</t>
  </si>
  <si>
    <t>Lucro</t>
  </si>
  <si>
    <t>Tributos</t>
  </si>
  <si>
    <t>PIS</t>
  </si>
  <si>
    <t>COFINS</t>
  </si>
  <si>
    <t>ISS</t>
  </si>
  <si>
    <t>Total de tributos</t>
  </si>
  <si>
    <t>Total do Módulo 6</t>
  </si>
  <si>
    <t>TOTAL DOS MÓDULOS 1 A 6</t>
  </si>
  <si>
    <t xml:space="preserve">Módulo 6 - BDI </t>
  </si>
  <si>
    <t>Total mês por posto</t>
  </si>
  <si>
    <t xml:space="preserve"> Uniformes</t>
  </si>
  <si>
    <t>Descrição</t>
  </si>
  <si>
    <t>Quant./ano</t>
  </si>
  <si>
    <t>Valor Médio</t>
  </si>
  <si>
    <t>R$ Anual</t>
  </si>
  <si>
    <t>Alicate de bico chato;</t>
  </si>
  <si>
    <t>Alicate de corte diagonal;</t>
  </si>
  <si>
    <t>Alicate de corte frontal;</t>
  </si>
  <si>
    <t>Alicate desencapador;</t>
  </si>
  <si>
    <t>Alicate rebitador;</t>
  </si>
  <si>
    <t>Alicate universal;</t>
  </si>
  <si>
    <t>Alicates para bombas de água antifaiscante de cobre;</t>
  </si>
  <si>
    <t>Arco de serra fixo 12”;</t>
  </si>
  <si>
    <t>Balde de pedreiro metálico 10 litros;</t>
  </si>
  <si>
    <t>Carrinho de mão 90 litros;</t>
  </si>
  <si>
    <t>Chave de Fenda 3/16” x 5” e 1/8” x 5”;</t>
  </si>
  <si>
    <t>Chave grifo 14 polegadas;</t>
  </si>
  <si>
    <t>Chave Inglesa;</t>
  </si>
  <si>
    <t>Chave Philips 1,4;</t>
  </si>
  <si>
    <t>Colher de pedreiro 08 polegadas;</t>
  </si>
  <si>
    <t>Conjunto de chaves allen de 1,5 a 10 mm;</t>
  </si>
  <si>
    <t>Conjunto de chaves combinada de 06 a 22 mm;</t>
  </si>
  <si>
    <t>Cortador de tubo telescópico capacidade de ¼” a 1.3/8”;</t>
  </si>
  <si>
    <t>Desempenadeira de aço dentada;</t>
  </si>
  <si>
    <t>Enxada larga 2,0;</t>
  </si>
  <si>
    <t>Escada tipo pintor e extensiva 4 metros;</t>
  </si>
  <si>
    <t>Esmerilhadeira industrial 1050 W;</t>
  </si>
  <si>
    <t>Espátula 12 cm em aço;</t>
  </si>
  <si>
    <t>Esquadro metálico 40 cm;</t>
  </si>
  <si>
    <t>Formão chanfrado 5/8 polegadas;</t>
  </si>
  <si>
    <t>Furadeira a bateria 12 v bivolt sem fio;</t>
  </si>
  <si>
    <t>Furadeira de impacto;</t>
  </si>
  <si>
    <t>Lápis carpinteiro;</t>
  </si>
  <si>
    <t>Lavadora alta pressão 1800 W;</t>
  </si>
  <si>
    <t>Lixadeira orbital 200w;</t>
  </si>
  <si>
    <t>Marreta quadrada 5 kg;</t>
  </si>
  <si>
    <t>Martelo;</t>
  </si>
  <si>
    <t>Multímetro ou alicate amperímetro para medições básicas de tensão, continuidade, corrente elétric.</t>
  </si>
  <si>
    <t>Nível bolha em alumínio;</t>
  </si>
  <si>
    <t>Pá ajuntadeira n°04;</t>
  </si>
  <si>
    <t>Pá de corte com cabo;</t>
  </si>
  <si>
    <t>Parafusadeira 12 V;</t>
  </si>
  <si>
    <t>Picareta com cabo;</t>
  </si>
  <si>
    <t>Pistola para pintura, pulverizador;</t>
  </si>
  <si>
    <t>Prumo de parede;</t>
  </si>
  <si>
    <t>Serra com arco fixo 12 polegadas;</t>
  </si>
  <si>
    <t>Serra mármore 1450 w;</t>
  </si>
  <si>
    <t>Serra tico-tico 500 W;</t>
  </si>
  <si>
    <t>Serrote 18 polegadas;</t>
  </si>
  <si>
    <t>Serrote cabo de madeira;</t>
  </si>
  <si>
    <t>Talhadeira redonda 10 polegadas;</t>
  </si>
  <si>
    <t>Torques armador 10 polegadas;</t>
  </si>
  <si>
    <t>Trena 7,50 metros.</t>
  </si>
  <si>
    <t>Conjunto de uniforme (camisa e calça)</t>
  </si>
  <si>
    <t>Bota de segurança;</t>
  </si>
  <si>
    <t>Óculos de proteção;</t>
  </si>
  <si>
    <t>Luvas de segurança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</si>
</sst>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&quot;R$&quot;\ * #,##0.00_-;\-&quot;R$&quot;\ * #,##0.00_-;_-&quot;R$&quot;\ * &quot;-&quot;??_-;_-@"/>
    <numFmt numFmtId="165" formatCode="_-* #,##0.00_-;\-* #,##0.00_-;_-* &quot;-&quot;??_-;_-@"/>
    <numFmt numFmtId="166" formatCode="_-* #,##0.0000000000_-;\-* #,##0.0000000000_-;_-* &quot;-&quot;??_-;_-@"/>
    <numFmt numFmtId="167" formatCode="0.0000"/>
    <numFmt numFmtId="168" formatCode="#,##0.00_ ;\-#,##0.00\ "/>
    <numFmt numFmtId="169" formatCode="_-* #,##0.00_-;\-* #,##0.00_-;_-* &quot;-&quot;????????_-;_-@"/>
    <numFmt numFmtId="170" formatCode="_-* #,##0.00_-;\-* #,##0.00_-;_-* &quot;-&quot;????_-;_-@"/>
    <numFmt numFmtId="171" formatCode="_-* #,##0.0000_-;\-* #,##0.0000_-;_-* &quot;-&quot;????_-;_-@"/>
    <numFmt numFmtId="172" formatCode="[$R$ -416]#,##0.00"/>
  </numFmts>
  <fonts count="19">
    <font>
      <sz val="11"/>
      <color theme="1"/>
      <name val="Arial"/>
      <scheme val="minor"/>
    </font>
    <font>
      <b/>
      <sz val="11"/>
      <color theme="1"/>
      <name val="Calibri"/>
    </font>
    <font>
      <sz val="11"/>
      <color theme="1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b/>
      <sz val="12"/>
      <color theme="1"/>
      <name val="Calibri"/>
    </font>
    <font>
      <sz val="11"/>
      <name val="Arial"/>
    </font>
    <font>
      <sz val="11"/>
      <color rgb="FF000000"/>
      <name val="Calibri"/>
    </font>
    <font>
      <sz val="12"/>
      <color rgb="FF000000"/>
      <name val="Calibri"/>
    </font>
    <font>
      <sz val="11"/>
      <color rgb="FFFF0000"/>
      <name val="Calibri"/>
    </font>
    <font>
      <sz val="11"/>
      <color theme="1"/>
      <name val="Inconsolata"/>
    </font>
    <font>
      <sz val="26"/>
      <color rgb="FFFF0000"/>
      <name val="Calibri"/>
    </font>
    <font>
      <b/>
      <sz val="11"/>
      <color rgb="FFFF0000"/>
      <name val="Calibri"/>
    </font>
    <font>
      <b/>
      <sz val="9"/>
      <color theme="1"/>
      <name val="Calibri"/>
    </font>
    <font>
      <sz val="9"/>
      <color theme="1"/>
      <name val="Calibri"/>
    </font>
    <font>
      <b/>
      <sz val="10"/>
      <color theme="1"/>
      <name val="Calibri"/>
    </font>
    <font>
      <sz val="10"/>
      <color rgb="FF000000"/>
      <name val="Calibri"/>
    </font>
    <font>
      <sz val="11"/>
      <color rgb="FF000000"/>
      <name val="Times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B7E1CD"/>
        <bgColor rgb="FFB7E1CD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/>
    <xf numFmtId="0" fontId="2" fillId="0" borderId="4" xfId="0" applyFont="1" applyBorder="1"/>
    <xf numFmtId="2" fontId="2" fillId="0" borderId="0" xfId="0" applyNumberFormat="1" applyFont="1"/>
    <xf numFmtId="0" fontId="2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0" fontId="2" fillId="0" borderId="5" xfId="0" applyNumberFormat="1" applyFont="1" applyBorder="1" applyAlignment="1">
      <alignment horizontal="right"/>
    </xf>
    <xf numFmtId="10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5" xfId="0" applyNumberFormat="1" applyFont="1" applyBorder="1" applyAlignment="1">
      <alignment horizontal="right"/>
    </xf>
    <xf numFmtId="9" fontId="2" fillId="0" borderId="5" xfId="0" applyNumberFormat="1" applyFont="1" applyBorder="1" applyAlignment="1">
      <alignment horizontal="right"/>
    </xf>
    <xf numFmtId="9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/>
    <xf numFmtId="0" fontId="4" fillId="0" borderId="5" xfId="0" applyFont="1" applyBorder="1" applyAlignment="1">
      <alignment horizontal="center" wrapText="1"/>
    </xf>
    <xf numFmtId="0" fontId="2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4" xfId="0" applyFont="1" applyBorder="1"/>
    <xf numFmtId="165" fontId="2" fillId="0" borderId="0" xfId="0" applyNumberFormat="1" applyFont="1"/>
    <xf numFmtId="0" fontId="7" fillId="0" borderId="5" xfId="0" applyFont="1" applyBorder="1"/>
    <xf numFmtId="10" fontId="7" fillId="0" borderId="5" xfId="0" applyNumberFormat="1" applyFont="1" applyBorder="1"/>
    <xf numFmtId="166" fontId="2" fillId="0" borderId="0" xfId="0" applyNumberFormat="1" applyFont="1" applyAlignment="1">
      <alignment horizontal="left"/>
    </xf>
    <xf numFmtId="0" fontId="7" fillId="0" borderId="6" xfId="0" applyFont="1" applyBorder="1"/>
    <xf numFmtId="0" fontId="7" fillId="0" borderId="8" xfId="0" applyFont="1" applyBorder="1"/>
    <xf numFmtId="10" fontId="7" fillId="0" borderId="8" xfId="0" applyNumberFormat="1" applyFont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center" wrapText="1"/>
    </xf>
    <xf numFmtId="10" fontId="2" fillId="0" borderId="15" xfId="0" applyNumberFormat="1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4" xfId="0" applyFont="1" applyBorder="1" applyAlignment="1">
      <alignment wrapText="1"/>
    </xf>
    <xf numFmtId="167" fontId="2" fillId="0" borderId="15" xfId="0" applyNumberFormat="1" applyFont="1" applyBorder="1" applyAlignment="1">
      <alignment wrapText="1"/>
    </xf>
    <xf numFmtId="167" fontId="2" fillId="0" borderId="0" xfId="0" applyNumberFormat="1" applyFont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10" fontId="2" fillId="0" borderId="17" xfId="0" applyNumberFormat="1" applyFont="1" applyBorder="1" applyAlignment="1">
      <alignment horizontal="center" wrapText="1"/>
    </xf>
    <xf numFmtId="167" fontId="2" fillId="0" borderId="17" xfId="0" applyNumberFormat="1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10" fontId="2" fillId="0" borderId="5" xfId="0" applyNumberFormat="1" applyFont="1" applyBorder="1" applyAlignment="1">
      <alignment horizontal="center" wrapText="1"/>
    </xf>
    <xf numFmtId="167" fontId="2" fillId="0" borderId="5" xfId="0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4" fillId="0" borderId="5" xfId="0" applyFont="1" applyBorder="1"/>
    <xf numFmtId="0" fontId="4" fillId="0" borderId="6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1" fontId="4" fillId="0" borderId="5" xfId="0" applyNumberFormat="1" applyFont="1" applyBorder="1" applyAlignment="1">
      <alignment horizontal="right"/>
    </xf>
    <xf numFmtId="1" fontId="1" fillId="0" borderId="5" xfId="0" applyNumberFormat="1" applyFont="1" applyBorder="1" applyAlignment="1">
      <alignment horizontal="right"/>
    </xf>
    <xf numFmtId="0" fontId="9" fillId="0" borderId="0" xfId="0" applyFont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2" fillId="0" borderId="3" xfId="0" applyFont="1" applyBorder="1" applyAlignment="1"/>
    <xf numFmtId="0" fontId="2" fillId="0" borderId="3" xfId="0" applyFont="1" applyBorder="1"/>
    <xf numFmtId="165" fontId="10" fillId="2" borderId="5" xfId="0" applyNumberFormat="1" applyFont="1" applyFill="1" applyBorder="1"/>
    <xf numFmtId="165" fontId="7" fillId="0" borderId="0" xfId="0" applyNumberFormat="1" applyFont="1"/>
    <xf numFmtId="9" fontId="7" fillId="0" borderId="5" xfId="0" applyNumberFormat="1" applyFont="1" applyBorder="1" applyAlignment="1"/>
    <xf numFmtId="165" fontId="7" fillId="0" borderId="5" xfId="0" applyNumberFormat="1" applyFont="1" applyBorder="1"/>
    <xf numFmtId="165" fontId="4" fillId="0" borderId="5" xfId="0" applyNumberFormat="1" applyFont="1" applyBorder="1"/>
    <xf numFmtId="165" fontId="4" fillId="0" borderId="0" xfId="0" applyNumberFormat="1" applyFont="1"/>
    <xf numFmtId="167" fontId="2" fillId="0" borderId="0" xfId="0" applyNumberFormat="1" applyFont="1"/>
    <xf numFmtId="10" fontId="2" fillId="0" borderId="0" xfId="0" applyNumberFormat="1" applyFont="1"/>
    <xf numFmtId="168" fontId="7" fillId="0" borderId="0" xfId="0" applyNumberFormat="1" applyFont="1"/>
    <xf numFmtId="10" fontId="2" fillId="0" borderId="5" xfId="0" applyNumberFormat="1" applyFont="1" applyBorder="1"/>
    <xf numFmtId="10" fontId="4" fillId="0" borderId="5" xfId="0" applyNumberFormat="1" applyFont="1" applyBorder="1"/>
    <xf numFmtId="168" fontId="4" fillId="0" borderId="5" xfId="0" applyNumberFormat="1" applyFont="1" applyBorder="1"/>
    <xf numFmtId="168" fontId="4" fillId="0" borderId="0" xfId="0" applyNumberFormat="1" applyFont="1"/>
    <xf numFmtId="168" fontId="7" fillId="0" borderId="5" xfId="0" applyNumberFormat="1" applyFont="1" applyBorder="1" applyAlignment="1">
      <alignment horizontal="right"/>
    </xf>
    <xf numFmtId="168" fontId="7" fillId="0" borderId="0" xfId="0" applyNumberFormat="1" applyFont="1" applyAlignment="1">
      <alignment horizontal="right"/>
    </xf>
    <xf numFmtId="168" fontId="4" fillId="0" borderId="5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" fontId="2" fillId="0" borderId="5" xfId="0" applyNumberFormat="1" applyFont="1" applyBorder="1"/>
    <xf numFmtId="4" fontId="2" fillId="0" borderId="0" xfId="0" applyNumberFormat="1" applyFont="1"/>
    <xf numFmtId="4" fontId="4" fillId="0" borderId="5" xfId="0" applyNumberFormat="1" applyFont="1" applyBorder="1"/>
    <xf numFmtId="4" fontId="4" fillId="0" borderId="0" xfId="0" applyNumberFormat="1" applyFont="1"/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1" fillId="0" borderId="0" xfId="0" applyFont="1"/>
    <xf numFmtId="165" fontId="2" fillId="0" borderId="5" xfId="0" applyNumberFormat="1" applyFont="1" applyBorder="1"/>
    <xf numFmtId="9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/>
    <xf numFmtId="2" fontId="1" fillId="0" borderId="5" xfId="0" applyNumberFormat="1" applyFont="1" applyBorder="1"/>
    <xf numFmtId="2" fontId="1" fillId="0" borderId="0" xfId="0" applyNumberFormat="1" applyFont="1"/>
    <xf numFmtId="169" fontId="2" fillId="0" borderId="0" xfId="0" applyNumberFormat="1" applyFont="1"/>
    <xf numFmtId="0" fontId="4" fillId="0" borderId="0" xfId="0" applyFont="1" applyAlignment="1">
      <alignment horizontal="right" wrapText="1"/>
    </xf>
    <xf numFmtId="9" fontId="7" fillId="0" borderId="0" xfId="0" applyNumberFormat="1" applyFont="1" applyAlignment="1">
      <alignment horizontal="center"/>
    </xf>
    <xf numFmtId="2" fontId="4" fillId="0" borderId="0" xfId="0" applyNumberFormat="1" applyFont="1"/>
    <xf numFmtId="2" fontId="9" fillId="0" borderId="5" xfId="0" applyNumberFormat="1" applyFont="1" applyBorder="1"/>
    <xf numFmtId="2" fontId="9" fillId="0" borderId="0" xfId="0" applyNumberFormat="1" applyFont="1"/>
    <xf numFmtId="0" fontId="8" fillId="0" borderId="0" xfId="0" applyFont="1"/>
    <xf numFmtId="0" fontId="4" fillId="0" borderId="2" xfId="0" applyFont="1" applyBorder="1" applyAlignment="1">
      <alignment horizontal="right" wrapText="1"/>
    </xf>
    <xf numFmtId="2" fontId="12" fillId="0" borderId="5" xfId="0" applyNumberFormat="1" applyFont="1" applyBorder="1"/>
    <xf numFmtId="2" fontId="12" fillId="0" borderId="0" xfId="0" applyNumberFormat="1" applyFont="1"/>
    <xf numFmtId="0" fontId="4" fillId="0" borderId="3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2" fontId="4" fillId="0" borderId="5" xfId="0" applyNumberFormat="1" applyFont="1" applyBorder="1"/>
    <xf numFmtId="0" fontId="13" fillId="0" borderId="5" xfId="0" applyFont="1" applyBorder="1" applyAlignment="1">
      <alignment horizontal="center" wrapText="1"/>
    </xf>
    <xf numFmtId="2" fontId="13" fillId="0" borderId="5" xfId="0" applyNumberFormat="1" applyFont="1" applyBorder="1" applyAlignment="1">
      <alignment horizontal="center" wrapText="1"/>
    </xf>
    <xf numFmtId="167" fontId="14" fillId="0" borderId="5" xfId="0" applyNumberFormat="1" applyFont="1" applyBorder="1"/>
    <xf numFmtId="0" fontId="14" fillId="0" borderId="5" xfId="0" applyFont="1" applyBorder="1" applyAlignment="1">
      <alignment horizontal="left" wrapText="1"/>
    </xf>
    <xf numFmtId="167" fontId="14" fillId="0" borderId="5" xfId="0" applyNumberFormat="1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10" fontId="14" fillId="0" borderId="5" xfId="0" applyNumberFormat="1" applyFont="1" applyBorder="1" applyAlignment="1">
      <alignment horizontal="center" wrapText="1"/>
    </xf>
    <xf numFmtId="167" fontId="14" fillId="0" borderId="5" xfId="0" applyNumberFormat="1" applyFont="1" applyBorder="1" applyAlignment="1">
      <alignment wrapText="1"/>
    </xf>
    <xf numFmtId="170" fontId="2" fillId="0" borderId="0" xfId="0" applyNumberFormat="1" applyFont="1"/>
    <xf numFmtId="0" fontId="14" fillId="0" borderId="5" xfId="0" applyFont="1" applyBorder="1" applyAlignment="1">
      <alignment wrapText="1"/>
    </xf>
    <xf numFmtId="171" fontId="2" fillId="0" borderId="0" xfId="0" applyNumberFormat="1" applyFont="1"/>
    <xf numFmtId="167" fontId="13" fillId="0" borderId="5" xfId="0" applyNumberFormat="1" applyFont="1" applyBorder="1"/>
    <xf numFmtId="2" fontId="13" fillId="0" borderId="5" xfId="0" applyNumberFormat="1" applyFont="1" applyBorder="1"/>
    <xf numFmtId="0" fontId="1" fillId="3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wrapText="1"/>
    </xf>
    <xf numFmtId="4" fontId="1" fillId="3" borderId="5" xfId="0" applyNumberFormat="1" applyFont="1" applyFill="1" applyBorder="1"/>
    <xf numFmtId="0" fontId="16" fillId="0" borderId="0" xfId="0" applyFont="1" applyAlignment="1">
      <alignment wrapText="1"/>
    </xf>
    <xf numFmtId="4" fontId="7" fillId="0" borderId="5" xfId="0" applyNumberFormat="1" applyFont="1" applyBorder="1"/>
    <xf numFmtId="4" fontId="7" fillId="0" borderId="0" xfId="0" applyNumberFormat="1" applyFont="1"/>
    <xf numFmtId="0" fontId="2" fillId="0" borderId="3" xfId="0" applyFont="1" applyBorder="1" applyAlignment="1">
      <alignment horizontal="center"/>
    </xf>
    <xf numFmtId="165" fontId="4" fillId="0" borderId="4" xfId="0" applyNumberFormat="1" applyFont="1" applyBorder="1"/>
    <xf numFmtId="2" fontId="7" fillId="0" borderId="5" xfId="0" applyNumberFormat="1" applyFont="1" applyBorder="1"/>
    <xf numFmtId="2" fontId="7" fillId="0" borderId="0" xfId="0" applyNumberFormat="1" applyFont="1"/>
    <xf numFmtId="10" fontId="4" fillId="0" borderId="4" xfId="0" applyNumberFormat="1" applyFont="1" applyBorder="1"/>
    <xf numFmtId="168" fontId="2" fillId="0" borderId="5" xfId="0" applyNumberFormat="1" applyFont="1" applyBorder="1"/>
    <xf numFmtId="168" fontId="2" fillId="0" borderId="0" xfId="0" applyNumberFormat="1" applyFont="1"/>
    <xf numFmtId="4" fontId="1" fillId="0" borderId="5" xfId="0" applyNumberFormat="1" applyFont="1" applyBorder="1"/>
    <xf numFmtId="4" fontId="12" fillId="0" borderId="0" xfId="0" applyNumberFormat="1" applyFont="1"/>
    <xf numFmtId="0" fontId="12" fillId="0" borderId="8" xfId="0" applyFont="1" applyBorder="1" applyAlignment="1">
      <alignment horizontal="right"/>
    </xf>
    <xf numFmtId="0" fontId="2" fillId="3" borderId="5" xfId="0" applyFont="1" applyFill="1" applyBorder="1"/>
    <xf numFmtId="0" fontId="2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7" fillId="0" borderId="20" xfId="0" applyFont="1" applyBorder="1" applyAlignment="1">
      <alignment wrapText="1"/>
    </xf>
    <xf numFmtId="0" fontId="2" fillId="3" borderId="5" xfId="0" applyFont="1" applyFill="1" applyBorder="1" applyAlignment="1">
      <alignment horizontal="center" wrapText="1"/>
    </xf>
    <xf numFmtId="172" fontId="17" fillId="0" borderId="21" xfId="0" applyNumberFormat="1" applyFont="1" applyBorder="1" applyAlignment="1"/>
    <xf numFmtId="2" fontId="2" fillId="3" borderId="5" xfId="0" applyNumberFormat="1" applyFont="1" applyFill="1" applyBorder="1" applyAlignment="1">
      <alignment horizontal="center"/>
    </xf>
    <xf numFmtId="4" fontId="2" fillId="3" borderId="5" xfId="0" applyNumberFormat="1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4" fontId="1" fillId="3" borderId="25" xfId="0" applyNumberFormat="1" applyFont="1" applyFill="1" applyBorder="1"/>
    <xf numFmtId="0" fontId="2" fillId="0" borderId="0" xfId="0" applyFont="1" applyProtection="1">
      <protection locked="0"/>
    </xf>
    <xf numFmtId="165" fontId="2" fillId="0" borderId="5" xfId="0" applyNumberFormat="1" applyFont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right"/>
      <protection locked="0"/>
    </xf>
    <xf numFmtId="168" fontId="7" fillId="0" borderId="5" xfId="0" applyNumberFormat="1" applyFont="1" applyBorder="1" applyProtection="1">
      <protection locked="0"/>
    </xf>
    <xf numFmtId="168" fontId="7" fillId="0" borderId="5" xfId="0" applyNumberFormat="1" applyFont="1" applyBorder="1" applyAlignment="1" applyProtection="1">
      <alignment horizontal="right"/>
      <protection locked="0"/>
    </xf>
    <xf numFmtId="167" fontId="14" fillId="0" borderId="5" xfId="0" applyNumberFormat="1" applyFont="1" applyBorder="1" applyProtection="1">
      <protection locked="0"/>
    </xf>
    <xf numFmtId="172" fontId="1" fillId="3" borderId="5" xfId="0" applyNumberFormat="1" applyFont="1" applyFill="1" applyBorder="1" applyAlignment="1" applyProtection="1">
      <alignment horizontal="right"/>
      <protection locked="0"/>
    </xf>
    <xf numFmtId="0" fontId="1" fillId="3" borderId="5" xfId="0" applyFont="1" applyFill="1" applyBorder="1" applyAlignment="1" applyProtection="1">
      <alignment horizontal="right"/>
      <protection locked="0"/>
    </xf>
    <xf numFmtId="4" fontId="1" fillId="3" borderId="5" xfId="0" applyNumberFormat="1" applyFont="1" applyFill="1" applyBorder="1" applyProtection="1">
      <protection locked="0"/>
    </xf>
    <xf numFmtId="10" fontId="7" fillId="0" borderId="5" xfId="0" applyNumberFormat="1" applyFont="1" applyBorder="1" applyProtection="1">
      <protection locked="0"/>
    </xf>
    <xf numFmtId="0" fontId="1" fillId="3" borderId="2" xfId="0" applyFont="1" applyFill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1" fillId="3" borderId="2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6" fillId="0" borderId="8" xfId="0" applyFont="1" applyBorder="1"/>
    <xf numFmtId="0" fontId="6" fillId="0" borderId="7" xfId="0" applyFont="1" applyBorder="1"/>
    <xf numFmtId="0" fontId="13" fillId="0" borderId="2" xfId="0" applyFont="1" applyBorder="1" applyAlignment="1">
      <alignment horizontal="center"/>
    </xf>
    <xf numFmtId="0" fontId="13" fillId="0" borderId="19" xfId="0" applyFont="1" applyBorder="1" applyAlignment="1">
      <alignment horizontal="center" wrapText="1"/>
    </xf>
    <xf numFmtId="0" fontId="6" fillId="0" borderId="20" xfId="0" applyFont="1" applyBorder="1"/>
    <xf numFmtId="0" fontId="13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2" fillId="0" borderId="0" xfId="0" applyFont="1"/>
    <xf numFmtId="0" fontId="0" fillId="0" borderId="0" xfId="0" applyFont="1" applyAlignment="1"/>
    <xf numFmtId="0" fontId="4" fillId="0" borderId="11" xfId="0" applyFont="1" applyBorder="1" applyAlignment="1">
      <alignment horizontal="center" wrapText="1"/>
    </xf>
    <xf numFmtId="0" fontId="6" fillId="0" borderId="14" xfId="0" applyFont="1" applyBorder="1"/>
    <xf numFmtId="0" fontId="4" fillId="0" borderId="12" xfId="0" applyFont="1" applyBorder="1" applyAlignment="1">
      <alignment horizontal="center" wrapText="1"/>
    </xf>
    <xf numFmtId="0" fontId="6" fillId="0" borderId="13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164" fontId="2" fillId="0" borderId="2" xfId="0" applyNumberFormat="1" applyFont="1" applyBorder="1" applyAlignment="1" applyProtection="1">
      <alignment horizontal="left"/>
      <protection locked="0"/>
    </xf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6" fillId="0" borderId="10" xfId="0" applyFont="1" applyBorder="1"/>
    <xf numFmtId="0" fontId="4" fillId="0" borderId="18" xfId="0" applyFont="1" applyBorder="1" applyAlignment="1">
      <alignment horizontal="center"/>
    </xf>
    <xf numFmtId="0" fontId="2" fillId="0" borderId="18" xfId="0" applyFont="1" applyBorder="1" applyAlignment="1"/>
    <xf numFmtId="0" fontId="1" fillId="3" borderId="22" xfId="0" applyFont="1" applyFill="1" applyBorder="1" applyAlignment="1">
      <alignment horizontal="right"/>
    </xf>
    <xf numFmtId="0" fontId="6" fillId="0" borderId="23" xfId="0" applyFont="1" applyBorder="1"/>
    <xf numFmtId="0" fontId="6" fillId="0" borderId="24" xfId="0" applyFont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78"/>
  <sheetViews>
    <sheetView tabSelected="1" topLeftCell="A15" zoomScaleNormal="100" workbookViewId="0">
      <selection activeCell="H20" sqref="H20"/>
    </sheetView>
  </sheetViews>
  <sheetFormatPr defaultColWidth="12.625" defaultRowHeight="15" customHeight="1"/>
  <cols>
    <col min="1" max="1" width="18.125" customWidth="1"/>
    <col min="2" max="2" width="11.25" customWidth="1"/>
    <col min="3" max="3" width="9.25" customWidth="1"/>
    <col min="4" max="4" width="10.25" customWidth="1"/>
    <col min="5" max="5" width="9.75" customWidth="1"/>
    <col min="6" max="6" width="9.625" customWidth="1"/>
    <col min="7" max="7" width="7.625" customWidth="1"/>
    <col min="8" max="8" width="8.125" customWidth="1"/>
    <col min="9" max="9" width="14.25" customWidth="1"/>
    <col min="10" max="11" width="13.625" customWidth="1"/>
    <col min="12" max="12" width="10.125" customWidth="1"/>
    <col min="13" max="13" width="14.75" customWidth="1"/>
    <col min="14" max="18" width="8" customWidth="1"/>
    <col min="19" max="26" width="7.625" customWidth="1"/>
  </cols>
  <sheetData>
    <row r="1" spans="1:26">
      <c r="A1" s="194" t="s">
        <v>0</v>
      </c>
      <c r="B1" s="187"/>
      <c r="C1" s="187"/>
      <c r="D1" s="187"/>
      <c r="E1" s="18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>
      <c r="A2" s="195" t="s">
        <v>1</v>
      </c>
      <c r="B2" s="187"/>
      <c r="C2" s="187"/>
      <c r="D2" s="187"/>
      <c r="E2" s="187"/>
      <c r="F2" s="3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>
      <c r="A3" s="2"/>
      <c r="B3" s="196"/>
      <c r="C3" s="197"/>
      <c r="D3" s="19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182" t="s">
        <v>2</v>
      </c>
      <c r="B4" s="160"/>
      <c r="C4" s="160"/>
      <c r="D4" s="160"/>
      <c r="E4" s="161"/>
      <c r="F4" s="5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180" t="s">
        <v>3</v>
      </c>
      <c r="B5" s="161"/>
      <c r="C5" s="180" t="s">
        <v>4</v>
      </c>
      <c r="D5" s="160"/>
      <c r="E5" s="161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180" t="s">
        <v>5</v>
      </c>
      <c r="B6" s="161"/>
      <c r="C6" s="180" t="s">
        <v>6</v>
      </c>
      <c r="D6" s="160"/>
      <c r="E6" s="161"/>
      <c r="F6" s="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180" t="s">
        <v>7</v>
      </c>
      <c r="B7" s="161"/>
      <c r="C7" s="180" t="s">
        <v>8</v>
      </c>
      <c r="D7" s="160"/>
      <c r="E7" s="161"/>
      <c r="F7" s="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180" t="s">
        <v>9</v>
      </c>
      <c r="B8" s="161"/>
      <c r="C8" s="180">
        <v>5143</v>
      </c>
      <c r="D8" s="160"/>
      <c r="E8" s="161"/>
      <c r="F8" s="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180" t="s">
        <v>10</v>
      </c>
      <c r="B9" s="161"/>
      <c r="C9" s="180" t="s">
        <v>11</v>
      </c>
      <c r="D9" s="160"/>
      <c r="E9" s="161"/>
      <c r="F9" s="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180" t="s">
        <v>12</v>
      </c>
      <c r="B10" s="161"/>
      <c r="C10" s="180" t="s">
        <v>13</v>
      </c>
      <c r="D10" s="160"/>
      <c r="E10" s="161"/>
      <c r="F10" s="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7" t="s">
        <v>14</v>
      </c>
      <c r="B11" s="8">
        <v>220</v>
      </c>
      <c r="C11" s="198">
        <v>1314.09</v>
      </c>
      <c r="D11" s="199"/>
      <c r="E11" s="200"/>
      <c r="F11" s="6"/>
      <c r="G11" s="2"/>
      <c r="H11" s="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6"/>
      <c r="B12" s="6"/>
      <c r="C12" s="10"/>
      <c r="D12" s="6"/>
      <c r="E12" s="6"/>
      <c r="F12" s="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180" t="s">
        <v>15</v>
      </c>
      <c r="B13" s="161"/>
      <c r="C13" s="11" t="s">
        <v>16</v>
      </c>
      <c r="D13" s="11" t="s">
        <v>17</v>
      </c>
      <c r="E13" s="11" t="s">
        <v>18</v>
      </c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201"/>
      <c r="B14" s="169"/>
      <c r="C14" s="12">
        <v>1</v>
      </c>
      <c r="D14" s="150">
        <v>20.18</v>
      </c>
      <c r="E14" s="13">
        <v>0.19</v>
      </c>
      <c r="F14" s="1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180" t="s">
        <v>19</v>
      </c>
      <c r="B15" s="161"/>
      <c r="C15" s="11" t="s">
        <v>16</v>
      </c>
      <c r="D15" s="11" t="s">
        <v>17</v>
      </c>
      <c r="E15" s="11" t="s">
        <v>18</v>
      </c>
      <c r="F15" s="3"/>
      <c r="G15" s="14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202"/>
      <c r="B16" s="161"/>
      <c r="C16" s="12">
        <v>2</v>
      </c>
      <c r="D16" s="151">
        <v>5.15</v>
      </c>
      <c r="E16" s="17">
        <v>0.06</v>
      </c>
      <c r="F16" s="18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15"/>
      <c r="B17" s="19"/>
      <c r="C17" s="12"/>
      <c r="D17" s="16"/>
      <c r="E17" s="17" t="s">
        <v>20</v>
      </c>
      <c r="F17" s="18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15"/>
      <c r="B18" s="19"/>
      <c r="C18" s="12"/>
      <c r="D18" s="16"/>
      <c r="E18" s="17">
        <v>0.5</v>
      </c>
      <c r="F18" s="18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180" t="s">
        <v>21</v>
      </c>
      <c r="B19" s="161"/>
      <c r="C19" s="12"/>
      <c r="D19" s="151">
        <v>17.32</v>
      </c>
      <c r="E19" s="12"/>
      <c r="F19" s="20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5"/>
      <c r="B20" s="5"/>
      <c r="C20" s="21"/>
      <c r="D20" s="21"/>
      <c r="E20" s="21"/>
      <c r="F20" s="2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182" t="s">
        <v>22</v>
      </c>
      <c r="B21" s="161"/>
      <c r="C21" s="22" t="s">
        <v>23</v>
      </c>
      <c r="D21" s="22" t="s">
        <v>24</v>
      </c>
      <c r="E21" s="11" t="s">
        <v>25</v>
      </c>
      <c r="F21" s="3"/>
      <c r="G21" s="2"/>
      <c r="H21" s="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3" t="s">
        <v>26</v>
      </c>
      <c r="B22" s="24">
        <v>12</v>
      </c>
      <c r="C22" s="25">
        <v>30</v>
      </c>
      <c r="D22" s="24">
        <v>0</v>
      </c>
      <c r="E22" s="12">
        <f>C22+D22</f>
        <v>30</v>
      </c>
      <c r="F22" s="20"/>
      <c r="G22" s="2"/>
      <c r="H22" s="2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184" t="s">
        <v>27</v>
      </c>
      <c r="B23" s="160"/>
      <c r="C23" s="161"/>
      <c r="D23" s="27"/>
      <c r="E23" s="27"/>
      <c r="F23" s="21"/>
      <c r="G23" s="2"/>
      <c r="H23" s="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7" t="s">
        <v>28</v>
      </c>
      <c r="B24" s="27"/>
      <c r="C24" s="158">
        <v>0.55730000000000002</v>
      </c>
      <c r="D24" s="27"/>
      <c r="E24" s="27"/>
      <c r="F24" s="21"/>
      <c r="G24" s="2"/>
      <c r="H24" s="2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3" t="s">
        <v>29</v>
      </c>
      <c r="B25" s="27"/>
      <c r="C25" s="158">
        <v>6.1899999999999997E-2</v>
      </c>
      <c r="D25" s="27"/>
      <c r="E25" s="27"/>
      <c r="F25" s="21"/>
      <c r="G25" s="2"/>
      <c r="H25" s="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180" t="s">
        <v>30</v>
      </c>
      <c r="B26" s="161"/>
      <c r="C26" s="158">
        <v>3.0800000000000001E-2</v>
      </c>
      <c r="D26" s="27"/>
      <c r="E26" s="27"/>
      <c r="F26" s="2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7" t="s">
        <v>31</v>
      </c>
      <c r="B27" s="27"/>
      <c r="C27" s="158">
        <f>(100%-(C24+C25+C26))</f>
        <v>0.35</v>
      </c>
      <c r="D27" s="27"/>
      <c r="E27" s="27"/>
      <c r="F27" s="21"/>
      <c r="G27" s="2"/>
      <c r="H27" s="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30"/>
      <c r="B28" s="31"/>
      <c r="C28" s="32"/>
      <c r="D28" s="31"/>
      <c r="E28" s="31"/>
      <c r="F28" s="2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03" t="s">
        <v>32</v>
      </c>
      <c r="B29" s="204"/>
      <c r="C29" s="204"/>
      <c r="D29" s="204"/>
      <c r="E29" s="204"/>
      <c r="F29" s="33"/>
      <c r="G29" s="2"/>
      <c r="H29" s="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188" t="s">
        <v>7</v>
      </c>
      <c r="B30" s="188" t="s">
        <v>33</v>
      </c>
      <c r="C30" s="188" t="s">
        <v>34</v>
      </c>
      <c r="D30" s="190">
        <v>12</v>
      </c>
      <c r="E30" s="191"/>
      <c r="F30" s="3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189"/>
      <c r="B31" s="189"/>
      <c r="C31" s="189"/>
      <c r="D31" s="35" t="s">
        <v>35</v>
      </c>
      <c r="E31" s="35" t="s">
        <v>36</v>
      </c>
      <c r="F31" s="3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36" t="s">
        <v>37</v>
      </c>
      <c r="B32" s="37">
        <v>1</v>
      </c>
      <c r="C32" s="37">
        <v>30</v>
      </c>
      <c r="D32" s="38">
        <v>0.69040000000000001</v>
      </c>
      <c r="E32" s="39">
        <v>20.712299999999999</v>
      </c>
      <c r="F32" s="40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1" t="s">
        <v>38</v>
      </c>
      <c r="B33" s="37">
        <v>1</v>
      </c>
      <c r="C33" s="37">
        <v>1</v>
      </c>
      <c r="D33" s="38">
        <v>1</v>
      </c>
      <c r="E33" s="42">
        <v>1</v>
      </c>
      <c r="F33" s="4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41" t="s">
        <v>39</v>
      </c>
      <c r="B34" s="37">
        <v>0.16420000000000001</v>
      </c>
      <c r="C34" s="37">
        <v>15</v>
      </c>
      <c r="D34" s="38">
        <v>0.69040000000000001</v>
      </c>
      <c r="E34" s="42">
        <v>1.7</v>
      </c>
      <c r="F34" s="4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41" t="s">
        <v>40</v>
      </c>
      <c r="B35" s="37">
        <v>1</v>
      </c>
      <c r="C35" s="37">
        <v>5</v>
      </c>
      <c r="D35" s="38">
        <v>0.69040000000000001</v>
      </c>
      <c r="E35" s="39">
        <v>3.4521000000000002</v>
      </c>
      <c r="F35" s="40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41" t="s">
        <v>41</v>
      </c>
      <c r="B36" s="37">
        <v>0.15310000000000001</v>
      </c>
      <c r="C36" s="37">
        <v>2</v>
      </c>
      <c r="D36" s="38">
        <v>1</v>
      </c>
      <c r="E36" s="39">
        <v>0.30630000000000002</v>
      </c>
      <c r="F36" s="40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41" t="s">
        <v>42</v>
      </c>
      <c r="B37" s="37">
        <v>3.0099999999999998E-2</v>
      </c>
      <c r="C37" s="37">
        <v>2</v>
      </c>
      <c r="D37" s="38">
        <v>0.69040000000000001</v>
      </c>
      <c r="E37" s="39">
        <v>4.1500000000000002E-2</v>
      </c>
      <c r="F37" s="40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41" t="s">
        <v>43</v>
      </c>
      <c r="B38" s="37">
        <v>1.6299999999999999E-2</v>
      </c>
      <c r="C38" s="37">
        <v>3</v>
      </c>
      <c r="D38" s="38">
        <v>1</v>
      </c>
      <c r="E38" s="39">
        <v>4.8899999999999999E-2</v>
      </c>
      <c r="F38" s="40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41" t="s">
        <v>44</v>
      </c>
      <c r="B39" s="37">
        <v>0.02</v>
      </c>
      <c r="C39" s="37">
        <v>1</v>
      </c>
      <c r="D39" s="38">
        <v>1</v>
      </c>
      <c r="E39" s="42">
        <v>0.02</v>
      </c>
      <c r="F39" s="4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44" t="s">
        <v>45</v>
      </c>
      <c r="B40" s="45">
        <v>4.0000000000000001E-3</v>
      </c>
      <c r="C40" s="45">
        <v>1</v>
      </c>
      <c r="D40" s="46">
        <v>1</v>
      </c>
      <c r="E40" s="47">
        <v>4.0000000000000001E-3</v>
      </c>
      <c r="F40" s="4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48" t="s">
        <v>46</v>
      </c>
      <c r="B41" s="49">
        <v>4.2000000000000003E-2</v>
      </c>
      <c r="C41" s="49">
        <v>20</v>
      </c>
      <c r="D41" s="50">
        <v>0.69040000000000001</v>
      </c>
      <c r="E41" s="51">
        <v>0.06</v>
      </c>
      <c r="F41" s="4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1" t="s">
        <v>47</v>
      </c>
      <c r="B42" s="37">
        <v>3.8E-3</v>
      </c>
      <c r="C42" s="37">
        <v>180</v>
      </c>
      <c r="D42" s="38">
        <v>0.69040000000000001</v>
      </c>
      <c r="E42" s="42">
        <v>3.282</v>
      </c>
      <c r="F42" s="4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44" t="s">
        <v>48</v>
      </c>
      <c r="B43" s="45">
        <v>2.9999999999999997E-4</v>
      </c>
      <c r="C43" s="45">
        <v>6</v>
      </c>
      <c r="D43" s="46">
        <v>1</v>
      </c>
      <c r="E43" s="52">
        <v>1.32E-2</v>
      </c>
      <c r="F43" s="40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165" t="s">
        <v>49</v>
      </c>
      <c r="B44" s="160"/>
      <c r="C44" s="160"/>
      <c r="D44" s="161"/>
      <c r="E44" s="53">
        <f>SUM(E32:E43)</f>
        <v>30.6403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54"/>
      <c r="B45" s="55"/>
      <c r="C45" s="55"/>
      <c r="D45" s="55"/>
      <c r="E45" s="4"/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192" t="s">
        <v>50</v>
      </c>
      <c r="B46" s="160"/>
      <c r="C46" s="161"/>
      <c r="D46" s="56">
        <v>12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193" t="s">
        <v>51</v>
      </c>
      <c r="B47" s="160"/>
      <c r="C47" s="161"/>
      <c r="D47" s="57">
        <v>252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180" t="s">
        <v>52</v>
      </c>
      <c r="B48" s="160"/>
      <c r="C48" s="161"/>
      <c r="D48" s="57">
        <v>21</v>
      </c>
      <c r="E48" s="2"/>
      <c r="F48" s="2"/>
      <c r="G48" s="2"/>
      <c r="H48" s="2"/>
      <c r="I48" s="186"/>
      <c r="J48" s="187"/>
      <c r="K48" s="187"/>
      <c r="L48" s="187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80" t="s">
        <v>53</v>
      </c>
      <c r="B49" s="160"/>
      <c r="C49" s="161"/>
      <c r="D49" s="58">
        <v>200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66" t="s">
        <v>54</v>
      </c>
      <c r="B51" s="160"/>
      <c r="C51" s="160"/>
      <c r="D51" s="160"/>
      <c r="E51" s="161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61"/>
      <c r="B52" s="61"/>
      <c r="C52" s="61"/>
      <c r="D52" s="61"/>
      <c r="E52" s="61"/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05" t="s">
        <v>55</v>
      </c>
      <c r="B53" s="160"/>
      <c r="C53" s="160"/>
      <c r="D53" s="160"/>
      <c r="E53" s="161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60"/>
      <c r="B54" s="62">
        <v>200</v>
      </c>
      <c r="C54" s="63" t="s">
        <v>56</v>
      </c>
      <c r="D54" s="11" t="s">
        <v>57</v>
      </c>
      <c r="E54" s="11" t="s">
        <v>58</v>
      </c>
      <c r="F54" s="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64" t="s">
        <v>59</v>
      </c>
      <c r="B55" s="65"/>
      <c r="C55" s="8"/>
      <c r="D55" s="27"/>
      <c r="E55" s="66">
        <f>(C11/B11)*B54</f>
        <v>1194.6272727272726</v>
      </c>
      <c r="F55" s="67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06" t="s">
        <v>60</v>
      </c>
      <c r="B56" s="160"/>
      <c r="C56" s="161"/>
      <c r="D56" s="68">
        <v>0.2</v>
      </c>
      <c r="E56" s="69">
        <f>C11*D56</f>
        <v>262.81799999999998</v>
      </c>
      <c r="F56" s="67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65" t="s">
        <v>61</v>
      </c>
      <c r="B57" s="160"/>
      <c r="C57" s="160"/>
      <c r="D57" s="161"/>
      <c r="E57" s="70">
        <f>E55+E56</f>
        <v>1457.4452727272726</v>
      </c>
      <c r="F57" s="71"/>
      <c r="G57" s="10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66" t="s">
        <v>62</v>
      </c>
      <c r="B59" s="160"/>
      <c r="C59" s="160"/>
      <c r="D59" s="160"/>
      <c r="E59" s="161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82" t="s">
        <v>63</v>
      </c>
      <c r="B60" s="160"/>
      <c r="C60" s="160"/>
      <c r="D60" s="160"/>
      <c r="E60" s="161"/>
      <c r="F60" s="5"/>
      <c r="G60" s="2"/>
      <c r="H60" s="72"/>
      <c r="I60" s="72"/>
      <c r="J60" s="9"/>
      <c r="K60" s="7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66"/>
      <c r="B61" s="160"/>
      <c r="C61" s="161"/>
      <c r="D61" s="11" t="s">
        <v>57</v>
      </c>
      <c r="E61" s="11" t="s">
        <v>58</v>
      </c>
      <c r="F61" s="3"/>
      <c r="G61" s="2"/>
      <c r="H61" s="9"/>
      <c r="I61" s="9"/>
      <c r="J61" s="73"/>
      <c r="K61" s="2"/>
      <c r="L61" s="2"/>
      <c r="M61" s="72"/>
      <c r="N61" s="2"/>
      <c r="O61" s="2"/>
      <c r="P61" s="2"/>
      <c r="Q61" s="2"/>
      <c r="R61" s="73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84" t="s">
        <v>64</v>
      </c>
      <c r="B62" s="160"/>
      <c r="C62" s="161"/>
      <c r="D62" s="28">
        <f>1/12</f>
        <v>8.3333333333333329E-2</v>
      </c>
      <c r="E62" s="69">
        <f>E57*D62</f>
        <v>121.45377272727271</v>
      </c>
      <c r="F62" s="67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80" t="s">
        <v>65</v>
      </c>
      <c r="B63" s="160"/>
      <c r="C63" s="161"/>
      <c r="D63" s="28">
        <v>0.33329999999999999</v>
      </c>
      <c r="E63" s="69">
        <f>(E57*D63)/12</f>
        <v>40.480542449999994</v>
      </c>
      <c r="F63" s="67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65" t="s">
        <v>49</v>
      </c>
      <c r="B64" s="160"/>
      <c r="C64" s="160"/>
      <c r="D64" s="161"/>
      <c r="E64" s="70">
        <f>SUM(E62:E63)</f>
        <v>161.93431517727271</v>
      </c>
      <c r="F64" s="71"/>
      <c r="G64" s="2"/>
      <c r="H64" s="2"/>
      <c r="I64" s="2"/>
      <c r="J64" s="2"/>
      <c r="K64" s="2"/>
      <c r="L64" s="73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1"/>
      <c r="B65" s="21"/>
      <c r="C65" s="21"/>
      <c r="D65" s="21"/>
      <c r="E65" s="21"/>
      <c r="F65" s="2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82" t="s">
        <v>66</v>
      </c>
      <c r="B66" s="160"/>
      <c r="C66" s="160"/>
      <c r="D66" s="160"/>
      <c r="E66" s="161"/>
      <c r="F66" s="5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80" t="s">
        <v>67</v>
      </c>
      <c r="B67" s="161"/>
      <c r="C67" s="69">
        <f>E57+E64</f>
        <v>1619.3795879045454</v>
      </c>
      <c r="D67" s="11" t="s">
        <v>57</v>
      </c>
      <c r="E67" s="11" t="s">
        <v>58</v>
      </c>
      <c r="F67" s="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80" t="s">
        <v>68</v>
      </c>
      <c r="B68" s="160"/>
      <c r="C68" s="161"/>
      <c r="D68" s="28">
        <v>0.2</v>
      </c>
      <c r="E68" s="152">
        <f t="shared" ref="E68:E74" si="0">$C$67*D68</f>
        <v>323.87591758090912</v>
      </c>
      <c r="F68" s="7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80" t="s">
        <v>69</v>
      </c>
      <c r="B69" s="160"/>
      <c r="C69" s="161"/>
      <c r="D69" s="28">
        <v>2.5000000000000001E-2</v>
      </c>
      <c r="E69" s="152">
        <f t="shared" si="0"/>
        <v>40.48448969761364</v>
      </c>
      <c r="F69" s="7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80" t="s">
        <v>70</v>
      </c>
      <c r="B70" s="160"/>
      <c r="C70" s="161"/>
      <c r="D70" s="28">
        <v>0.03</v>
      </c>
      <c r="E70" s="152">
        <f t="shared" si="0"/>
        <v>48.581387637136359</v>
      </c>
      <c r="F70" s="7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80" t="s">
        <v>71</v>
      </c>
      <c r="B71" s="160"/>
      <c r="C71" s="161"/>
      <c r="D71" s="28">
        <v>1.4999999999999999E-2</v>
      </c>
      <c r="E71" s="152">
        <f t="shared" si="0"/>
        <v>24.29069381856818</v>
      </c>
      <c r="F71" s="7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80" t="s">
        <v>72</v>
      </c>
      <c r="B72" s="160"/>
      <c r="C72" s="161"/>
      <c r="D72" s="75">
        <v>0.01</v>
      </c>
      <c r="E72" s="152">
        <f t="shared" si="0"/>
        <v>16.193795879045453</v>
      </c>
      <c r="F72" s="7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80" t="s">
        <v>73</v>
      </c>
      <c r="B73" s="160"/>
      <c r="C73" s="161"/>
      <c r="D73" s="75">
        <v>6.0000000000000001E-3</v>
      </c>
      <c r="E73" s="152">
        <f t="shared" si="0"/>
        <v>9.7162775274272732</v>
      </c>
      <c r="F73" s="7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80" t="s">
        <v>74</v>
      </c>
      <c r="B74" s="160"/>
      <c r="C74" s="161"/>
      <c r="D74" s="75">
        <v>2E-3</v>
      </c>
      <c r="E74" s="152">
        <f t="shared" si="0"/>
        <v>3.2387591758090908</v>
      </c>
      <c r="F74" s="7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65" t="s">
        <v>75</v>
      </c>
      <c r="B75" s="160"/>
      <c r="C75" s="161"/>
      <c r="D75" s="76">
        <f t="shared" ref="D75:E75" si="1">SUM(D68:D74)</f>
        <v>0.28800000000000003</v>
      </c>
      <c r="E75" s="77">
        <f t="shared" si="1"/>
        <v>466.38132131650912</v>
      </c>
      <c r="F75" s="78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80" t="s">
        <v>76</v>
      </c>
      <c r="B76" s="160"/>
      <c r="C76" s="161"/>
      <c r="D76" s="75">
        <v>0.08</v>
      </c>
      <c r="E76" s="152">
        <f>C67*D76</f>
        <v>129.55036703236362</v>
      </c>
      <c r="F76" s="7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65" t="s">
        <v>49</v>
      </c>
      <c r="B77" s="160"/>
      <c r="C77" s="161"/>
      <c r="D77" s="76">
        <f t="shared" ref="D77:E77" si="2">SUM(D75:D76)</f>
        <v>0.36800000000000005</v>
      </c>
      <c r="E77" s="77">
        <f t="shared" si="2"/>
        <v>595.93168834887274</v>
      </c>
      <c r="F77" s="78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1"/>
      <c r="B78" s="21"/>
      <c r="C78" s="21"/>
      <c r="D78" s="21"/>
      <c r="E78" s="21"/>
      <c r="F78" s="2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82" t="s">
        <v>77</v>
      </c>
      <c r="B79" s="160"/>
      <c r="C79" s="160"/>
      <c r="D79" s="160"/>
      <c r="E79" s="161"/>
      <c r="F79" s="5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85"/>
      <c r="B80" s="160"/>
      <c r="C80" s="160"/>
      <c r="D80" s="161"/>
      <c r="E80" s="11" t="s">
        <v>58</v>
      </c>
      <c r="F80" s="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80" t="s">
        <v>78</v>
      </c>
      <c r="B81" s="160"/>
      <c r="C81" s="160"/>
      <c r="D81" s="161"/>
      <c r="E81" s="153">
        <f>((D16*C16)*D48)-(E11*E18)*E16</f>
        <v>216.3</v>
      </c>
      <c r="F81" s="80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80" t="s">
        <v>79</v>
      </c>
      <c r="B82" s="160"/>
      <c r="C82" s="160"/>
      <c r="D82" s="161"/>
      <c r="E82" s="79">
        <f>((C14*D14)*D48)-(((C14*D14)*D48)*E14)</f>
        <v>343.26179999999999</v>
      </c>
      <c r="F82" s="80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80" t="s">
        <v>80</v>
      </c>
      <c r="B83" s="160"/>
      <c r="C83" s="160"/>
      <c r="D83" s="161"/>
      <c r="E83" s="79">
        <f>D19</f>
        <v>17.32</v>
      </c>
      <c r="F83" s="80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80" t="s">
        <v>81</v>
      </c>
      <c r="B84" s="160"/>
      <c r="C84" s="160"/>
      <c r="D84" s="161"/>
      <c r="E84" s="79"/>
      <c r="F84" s="80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80" t="s">
        <v>82</v>
      </c>
      <c r="B85" s="160"/>
      <c r="C85" s="160"/>
      <c r="D85" s="161"/>
      <c r="E85" s="79"/>
      <c r="F85" s="80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65" t="s">
        <v>49</v>
      </c>
      <c r="B86" s="160"/>
      <c r="C86" s="160"/>
      <c r="D86" s="161"/>
      <c r="E86" s="81">
        <f>SUM(E81:E85)</f>
        <v>576.8818</v>
      </c>
      <c r="F86" s="8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83"/>
      <c r="B87" s="83"/>
      <c r="C87" s="83"/>
      <c r="D87" s="83"/>
      <c r="E87" s="82"/>
      <c r="F87" s="8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66" t="s">
        <v>83</v>
      </c>
      <c r="B88" s="160"/>
      <c r="C88" s="160"/>
      <c r="D88" s="160"/>
      <c r="E88" s="161"/>
      <c r="F88" s="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66"/>
      <c r="B89" s="160"/>
      <c r="C89" s="160"/>
      <c r="D89" s="161"/>
      <c r="E89" s="11" t="s">
        <v>58</v>
      </c>
      <c r="F89" s="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80" t="s">
        <v>63</v>
      </c>
      <c r="B90" s="160"/>
      <c r="C90" s="160"/>
      <c r="D90" s="161"/>
      <c r="E90" s="84">
        <f>E64</f>
        <v>161.93431517727271</v>
      </c>
      <c r="F90" s="85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80" t="s">
        <v>84</v>
      </c>
      <c r="B91" s="160"/>
      <c r="C91" s="160"/>
      <c r="D91" s="161"/>
      <c r="E91" s="84">
        <f>E77</f>
        <v>595.93168834887274</v>
      </c>
      <c r="F91" s="85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80" t="s">
        <v>77</v>
      </c>
      <c r="B92" s="160"/>
      <c r="C92" s="160"/>
      <c r="D92" s="161"/>
      <c r="E92" s="84">
        <f>E86</f>
        <v>576.8818</v>
      </c>
      <c r="F92" s="85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65" t="s">
        <v>85</v>
      </c>
      <c r="B93" s="160"/>
      <c r="C93" s="160"/>
      <c r="D93" s="161"/>
      <c r="E93" s="86">
        <f>SUM(E90:E92)</f>
        <v>1334.7478035261456</v>
      </c>
      <c r="F93" s="87"/>
      <c r="G93" s="26"/>
      <c r="H93" s="26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1"/>
      <c r="B94" s="21"/>
      <c r="C94" s="21"/>
      <c r="D94" s="21"/>
      <c r="E94" s="21"/>
      <c r="F94" s="2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66" t="s">
        <v>86</v>
      </c>
      <c r="B95" s="160"/>
      <c r="C95" s="160"/>
      <c r="D95" s="160"/>
      <c r="E95" s="161"/>
      <c r="F95" s="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60"/>
      <c r="B96" s="62"/>
      <c r="C96" s="62"/>
      <c r="D96" s="62"/>
      <c r="E96" s="88"/>
      <c r="F96" s="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81" t="s">
        <v>87</v>
      </c>
      <c r="B97" s="160"/>
      <c r="C97" s="161"/>
      <c r="D97" s="89" t="s">
        <v>57</v>
      </c>
      <c r="E97" s="90" t="s">
        <v>58</v>
      </c>
      <c r="F97" s="1"/>
      <c r="G97" s="2"/>
      <c r="H97" s="2"/>
      <c r="I97" s="91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80" t="s">
        <v>88</v>
      </c>
      <c r="B98" s="160"/>
      <c r="C98" s="161"/>
      <c r="D98" s="23"/>
      <c r="E98" s="92">
        <f>((E57+(E93-E75))/$D46)*$C24</f>
        <v>108.01457425219495</v>
      </c>
      <c r="F98" s="9"/>
      <c r="G98" s="26"/>
      <c r="H98" s="26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64" t="s">
        <v>89</v>
      </c>
      <c r="B99" s="160"/>
      <c r="C99" s="161"/>
      <c r="D99" s="93">
        <v>0.08</v>
      </c>
      <c r="E99" s="94">
        <f>E98*D99</f>
        <v>8.6411659401755951</v>
      </c>
      <c r="F99" s="9"/>
      <c r="G99" s="2"/>
      <c r="H99" s="2"/>
      <c r="I99" s="4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64" t="s">
        <v>90</v>
      </c>
      <c r="B100" s="160"/>
      <c r="C100" s="161"/>
      <c r="D100" s="93">
        <v>0.4</v>
      </c>
      <c r="E100" s="94">
        <f>(((((E57+E64)/C22)*E22)*D99)*D100)*C24</f>
        <v>28.879367818854501</v>
      </c>
      <c r="F100" s="9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75" t="s">
        <v>91</v>
      </c>
      <c r="B101" s="160"/>
      <c r="C101" s="161"/>
      <c r="D101" s="93"/>
      <c r="E101" s="95">
        <f>SUM(E98:E100)</f>
        <v>145.53510801122505</v>
      </c>
      <c r="F101" s="96"/>
      <c r="G101" s="2"/>
      <c r="H101" s="97"/>
      <c r="I101" s="4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98"/>
      <c r="B102" s="98"/>
      <c r="C102" s="98"/>
      <c r="D102" s="99"/>
      <c r="E102" s="100"/>
      <c r="F102" s="100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81" t="s">
        <v>92</v>
      </c>
      <c r="B103" s="160"/>
      <c r="C103" s="161"/>
      <c r="D103" s="93"/>
      <c r="E103" s="94"/>
      <c r="F103" s="9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80" t="s">
        <v>93</v>
      </c>
      <c r="B104" s="160"/>
      <c r="C104" s="161"/>
      <c r="D104" s="23"/>
      <c r="E104" s="94">
        <f>((((E57+E93)/C22)*E22)/B22)*C25</f>
        <v>14.403062618340549</v>
      </c>
      <c r="F104" s="9"/>
      <c r="G104" s="2"/>
      <c r="H104" s="2"/>
      <c r="I104" s="59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64" t="s">
        <v>94</v>
      </c>
      <c r="B105" s="160"/>
      <c r="C105" s="161"/>
      <c r="D105" s="75">
        <f>D77</f>
        <v>0.36800000000000005</v>
      </c>
      <c r="E105" s="94">
        <f>E104*D105</f>
        <v>5.3003270435493226</v>
      </c>
      <c r="F105" s="9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64" t="s">
        <v>95</v>
      </c>
      <c r="B106" s="160"/>
      <c r="C106" s="161"/>
      <c r="D106" s="23"/>
      <c r="E106" s="94">
        <f>(((((E57+E64)/C22)*E22)*D99)*D100)*C25</f>
        <v>3.2076670877213234</v>
      </c>
      <c r="F106" s="9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75" t="s">
        <v>96</v>
      </c>
      <c r="B107" s="160"/>
      <c r="C107" s="161"/>
      <c r="D107" s="23"/>
      <c r="E107" s="95">
        <f>SUM(E104:E106)</f>
        <v>22.911056749611195</v>
      </c>
      <c r="F107" s="96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98"/>
      <c r="B108" s="98"/>
      <c r="C108" s="98"/>
      <c r="D108" s="21"/>
      <c r="E108" s="100"/>
      <c r="F108" s="100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76" t="s">
        <v>97</v>
      </c>
      <c r="B109" s="160"/>
      <c r="C109" s="161"/>
      <c r="D109" s="27"/>
      <c r="E109" s="88" t="s">
        <v>58</v>
      </c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77" t="s">
        <v>98</v>
      </c>
      <c r="B110" s="160"/>
      <c r="C110" s="161"/>
      <c r="D110" s="27"/>
      <c r="E110" s="101">
        <f>-E64*C26</f>
        <v>-4.9875769074599994</v>
      </c>
      <c r="F110" s="102"/>
      <c r="G110" s="2"/>
      <c r="H110" s="10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78" t="s">
        <v>99</v>
      </c>
      <c r="B111" s="160"/>
      <c r="C111" s="161"/>
      <c r="D111" s="53"/>
      <c r="E111" s="105">
        <f>SUM(E110)</f>
        <v>-4.9875769074599994</v>
      </c>
      <c r="F111" s="106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04"/>
      <c r="B112" s="107"/>
      <c r="C112" s="108"/>
      <c r="D112" s="53"/>
      <c r="E112" s="105"/>
      <c r="F112" s="106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79" t="s">
        <v>100</v>
      </c>
      <c r="B113" s="160"/>
      <c r="C113" s="160"/>
      <c r="D113" s="161"/>
      <c r="E113" s="88" t="s">
        <v>58</v>
      </c>
      <c r="F113" s="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80" t="s">
        <v>87</v>
      </c>
      <c r="B114" s="160"/>
      <c r="C114" s="160"/>
      <c r="D114" s="161"/>
      <c r="E114" s="95">
        <f>E101</f>
        <v>145.53510801122505</v>
      </c>
      <c r="F114" s="96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80" t="s">
        <v>92</v>
      </c>
      <c r="B115" s="160"/>
      <c r="C115" s="160"/>
      <c r="D115" s="161"/>
      <c r="E115" s="95">
        <f>E107</f>
        <v>22.911056749611195</v>
      </c>
      <c r="F115" s="96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64" t="s">
        <v>97</v>
      </c>
      <c r="B116" s="160"/>
      <c r="C116" s="160"/>
      <c r="D116" s="161"/>
      <c r="E116" s="95">
        <f>E111</f>
        <v>-4.9875769074599994</v>
      </c>
      <c r="F116" s="106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65" t="s">
        <v>101</v>
      </c>
      <c r="B117" s="160"/>
      <c r="C117" s="161"/>
      <c r="D117" s="27"/>
      <c r="E117" s="109">
        <f>SUM(E114:E116)</f>
        <v>163.45858785337623</v>
      </c>
      <c r="F117" s="100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1"/>
      <c r="B118" s="21"/>
      <c r="C118" s="21"/>
      <c r="D118" s="21"/>
      <c r="E118" s="21"/>
      <c r="F118" s="2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66" t="s">
        <v>102</v>
      </c>
      <c r="B119" s="160"/>
      <c r="C119" s="160"/>
      <c r="D119" s="160"/>
      <c r="E119" s="161"/>
      <c r="F119" s="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67" t="s">
        <v>103</v>
      </c>
      <c r="B120" s="168"/>
      <c r="C120" s="168"/>
      <c r="D120" s="168"/>
      <c r="E120" s="169"/>
      <c r="F120" s="5"/>
      <c r="G120" s="2"/>
      <c r="H120" s="5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70" t="s">
        <v>104</v>
      </c>
      <c r="B121" s="160"/>
      <c r="C121" s="160"/>
      <c r="D121" s="160"/>
      <c r="E121" s="160"/>
      <c r="F121" s="2"/>
      <c r="G121" s="2"/>
      <c r="H121" s="26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 customHeight="1">
      <c r="A122" s="110" t="s">
        <v>7</v>
      </c>
      <c r="B122" s="171" t="s">
        <v>33</v>
      </c>
      <c r="C122" s="171" t="s">
        <v>34</v>
      </c>
      <c r="D122" s="173" t="s">
        <v>105</v>
      </c>
      <c r="E122" s="161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3.25" customHeight="1">
      <c r="A123" s="111">
        <f>(E57+E93+E101)/D48</f>
        <v>139.89181829831637</v>
      </c>
      <c r="B123" s="172"/>
      <c r="C123" s="172"/>
      <c r="D123" s="110" t="s">
        <v>35</v>
      </c>
      <c r="E123" s="110" t="s">
        <v>36</v>
      </c>
      <c r="F123" s="112" t="s">
        <v>106</v>
      </c>
      <c r="G123" s="2"/>
      <c r="H123" s="2"/>
      <c r="I123" s="26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13" t="s">
        <v>37</v>
      </c>
      <c r="B124" s="114">
        <v>1</v>
      </c>
      <c r="C124" s="115">
        <v>15</v>
      </c>
      <c r="D124" s="116">
        <v>0.69040000000000001</v>
      </c>
      <c r="E124" s="117">
        <f t="shared" ref="E124:E135" si="3">(B124*C124)*D124</f>
        <v>10.356</v>
      </c>
      <c r="F124" s="154">
        <f>(A123*E124)/12</f>
        <v>120.72663919144702</v>
      </c>
      <c r="G124" s="2"/>
      <c r="H124" s="2"/>
      <c r="I124" s="118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 customHeight="1">
      <c r="A125" s="119" t="s">
        <v>38</v>
      </c>
      <c r="B125" s="114">
        <v>1</v>
      </c>
      <c r="C125" s="115">
        <v>1</v>
      </c>
      <c r="D125" s="116">
        <v>1</v>
      </c>
      <c r="E125" s="117">
        <f t="shared" si="3"/>
        <v>1</v>
      </c>
      <c r="F125" s="154">
        <f>(A123*E125)/12</f>
        <v>11.657651524859697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19" t="s">
        <v>39</v>
      </c>
      <c r="B126" s="115">
        <v>0.16420000000000001</v>
      </c>
      <c r="C126" s="115">
        <v>15</v>
      </c>
      <c r="D126" s="116">
        <v>0.69040000000000001</v>
      </c>
      <c r="E126" s="117">
        <f t="shared" si="3"/>
        <v>1.7004552000000002</v>
      </c>
      <c r="F126" s="154">
        <f>(A123*E126)/12</f>
        <v>19.823314155235604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19" t="s">
        <v>40</v>
      </c>
      <c r="B127" s="114">
        <v>1</v>
      </c>
      <c r="C127" s="115">
        <v>5</v>
      </c>
      <c r="D127" s="116">
        <v>0.69040000000000001</v>
      </c>
      <c r="E127" s="117">
        <f t="shared" si="3"/>
        <v>3.452</v>
      </c>
      <c r="F127" s="154">
        <f>(A123*E127)/12</f>
        <v>40.242213063815676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19" t="s">
        <v>41</v>
      </c>
      <c r="B128" s="115">
        <v>0.15310000000000001</v>
      </c>
      <c r="C128" s="115">
        <v>2</v>
      </c>
      <c r="D128" s="116">
        <v>1</v>
      </c>
      <c r="E128" s="117">
        <f t="shared" si="3"/>
        <v>0.30620000000000003</v>
      </c>
      <c r="F128" s="154">
        <f>(A123*E128)/12</f>
        <v>3.5695728969120393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19" t="s">
        <v>42</v>
      </c>
      <c r="B129" s="115">
        <v>3.0099999999999998E-2</v>
      </c>
      <c r="C129" s="115">
        <v>2</v>
      </c>
      <c r="D129" s="116">
        <v>0.69040000000000001</v>
      </c>
      <c r="E129" s="117">
        <f t="shared" si="3"/>
        <v>4.1562080000000001E-2</v>
      </c>
      <c r="F129" s="154">
        <f>(A123*E129)/12</f>
        <v>0.48451624528834075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19" t="s">
        <v>43</v>
      </c>
      <c r="B130" s="115">
        <v>1.6299999999999999E-2</v>
      </c>
      <c r="C130" s="115">
        <v>3</v>
      </c>
      <c r="D130" s="116">
        <v>1</v>
      </c>
      <c r="E130" s="117">
        <f t="shared" si="3"/>
        <v>4.8899999999999999E-2</v>
      </c>
      <c r="F130" s="154">
        <f>(A123*E130)/12</f>
        <v>0.57005915956563913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19" t="s">
        <v>44</v>
      </c>
      <c r="B131" s="114">
        <v>0.02</v>
      </c>
      <c r="C131" s="115">
        <v>1</v>
      </c>
      <c r="D131" s="116">
        <v>1</v>
      </c>
      <c r="E131" s="117">
        <f t="shared" si="3"/>
        <v>0.02</v>
      </c>
      <c r="F131" s="154">
        <f>(A123*E131)/12</f>
        <v>0.23315303049719394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19" t="s">
        <v>45</v>
      </c>
      <c r="B132" s="114">
        <v>4.0000000000000001E-3</v>
      </c>
      <c r="C132" s="115">
        <v>1</v>
      </c>
      <c r="D132" s="116">
        <v>1</v>
      </c>
      <c r="E132" s="117">
        <f t="shared" si="3"/>
        <v>4.0000000000000001E-3</v>
      </c>
      <c r="F132" s="154">
        <f>(A123*E132)/12</f>
        <v>4.6630606099438789E-2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19" t="s">
        <v>46</v>
      </c>
      <c r="B133" s="114">
        <v>4.2000000000000003E-2</v>
      </c>
      <c r="C133" s="115">
        <v>20</v>
      </c>
      <c r="D133" s="116">
        <v>0.69040000000000001</v>
      </c>
      <c r="E133" s="117">
        <f t="shared" si="3"/>
        <v>0.57993600000000012</v>
      </c>
      <c r="F133" s="154">
        <f>(A123*E133)/12</f>
        <v>6.7606917947210343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19" t="s">
        <v>47</v>
      </c>
      <c r="B134" s="115">
        <v>3.8E-3</v>
      </c>
      <c r="C134" s="115">
        <v>180</v>
      </c>
      <c r="D134" s="116">
        <v>0.69040000000000001</v>
      </c>
      <c r="E134" s="117">
        <f t="shared" si="3"/>
        <v>0.47223360000000003</v>
      </c>
      <c r="F134" s="154">
        <f>(A123*E134)/12</f>
        <v>5.5051347471299854</v>
      </c>
      <c r="G134" s="2"/>
      <c r="H134" s="120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19" t="s">
        <v>48</v>
      </c>
      <c r="B135" s="115">
        <v>2.9999999999999997E-4</v>
      </c>
      <c r="C135" s="115">
        <v>6</v>
      </c>
      <c r="D135" s="116">
        <v>1</v>
      </c>
      <c r="E135" s="117">
        <f t="shared" si="3"/>
        <v>1.8E-3</v>
      </c>
      <c r="F135" s="154">
        <f>(A123*E135)/12</f>
        <v>2.0983772744747456E-2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74" t="s">
        <v>49</v>
      </c>
      <c r="B136" s="160"/>
      <c r="C136" s="160"/>
      <c r="D136" s="161"/>
      <c r="E136" s="121">
        <f t="shared" ref="E136:F136" si="4">SUM(E124:E135)</f>
        <v>17.983086879999998</v>
      </c>
      <c r="F136" s="122">
        <f t="shared" si="4"/>
        <v>209.64056018831639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59" t="s">
        <v>107</v>
      </c>
      <c r="B137" s="160"/>
      <c r="C137" s="160"/>
      <c r="D137" s="160"/>
      <c r="E137" s="161"/>
      <c r="F137" s="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32.25" customHeight="1">
      <c r="A138" s="162"/>
      <c r="B138" s="161"/>
      <c r="C138" s="123" t="s">
        <v>108</v>
      </c>
      <c r="D138" s="124" t="s">
        <v>109</v>
      </c>
      <c r="E138" s="125"/>
      <c r="F138" s="87"/>
      <c r="G138" s="2"/>
      <c r="H138" s="2"/>
      <c r="I138" s="126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63" t="s">
        <v>110</v>
      </c>
      <c r="B139" s="161"/>
      <c r="C139" s="155">
        <v>70</v>
      </c>
      <c r="D139" s="156">
        <v>3</v>
      </c>
      <c r="E139" s="157">
        <f t="shared" ref="E139:E144" si="5">C139/D139</f>
        <v>23.333333333333332</v>
      </c>
      <c r="F139" s="87"/>
      <c r="G139" s="2"/>
      <c r="H139" s="2"/>
      <c r="I139" s="126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63" t="s">
        <v>111</v>
      </c>
      <c r="B140" s="161"/>
      <c r="C140" s="155">
        <v>45</v>
      </c>
      <c r="D140" s="156">
        <v>3</v>
      </c>
      <c r="E140" s="157">
        <f t="shared" si="5"/>
        <v>15</v>
      </c>
      <c r="F140" s="87"/>
      <c r="G140" s="2"/>
      <c r="H140" s="2"/>
      <c r="I140" s="126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63" t="s">
        <v>112</v>
      </c>
      <c r="B141" s="161"/>
      <c r="C141" s="155">
        <v>40</v>
      </c>
      <c r="D141" s="156">
        <v>3</v>
      </c>
      <c r="E141" s="157">
        <f t="shared" si="5"/>
        <v>13.333333333333334</v>
      </c>
      <c r="F141" s="87"/>
      <c r="G141" s="2"/>
      <c r="H141" s="2"/>
      <c r="I141" s="126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63" t="s">
        <v>113</v>
      </c>
      <c r="B142" s="161"/>
      <c r="C142" s="155">
        <v>50</v>
      </c>
      <c r="D142" s="156">
        <v>6</v>
      </c>
      <c r="E142" s="157">
        <f t="shared" si="5"/>
        <v>8.3333333333333339</v>
      </c>
      <c r="F142" s="87"/>
      <c r="G142" s="2"/>
      <c r="H142" s="2"/>
      <c r="I142" s="126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63" t="s">
        <v>114</v>
      </c>
      <c r="B143" s="161"/>
      <c r="C143" s="155">
        <v>5</v>
      </c>
      <c r="D143" s="156">
        <v>6</v>
      </c>
      <c r="E143" s="157">
        <f t="shared" si="5"/>
        <v>0.83333333333333337</v>
      </c>
      <c r="F143" s="87"/>
      <c r="G143" s="2"/>
      <c r="H143" s="2"/>
      <c r="I143" s="126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63" t="s">
        <v>115</v>
      </c>
      <c r="B144" s="161"/>
      <c r="C144" s="155">
        <v>5</v>
      </c>
      <c r="D144" s="156">
        <v>3</v>
      </c>
      <c r="E144" s="157">
        <f t="shared" si="5"/>
        <v>1.6666666666666667</v>
      </c>
      <c r="F144" s="87"/>
      <c r="G144" s="2"/>
      <c r="H144" s="2"/>
      <c r="I144" s="126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62" t="s">
        <v>116</v>
      </c>
      <c r="B145" s="160"/>
      <c r="C145" s="160"/>
      <c r="D145" s="161"/>
      <c r="E145" s="157">
        <f>SUM(E139:E144)</f>
        <v>62.5</v>
      </c>
      <c r="F145" s="87"/>
      <c r="G145" s="2"/>
      <c r="H145" s="2"/>
      <c r="I145" s="126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83"/>
      <c r="B146" s="83"/>
      <c r="C146" s="83"/>
      <c r="D146" s="83"/>
      <c r="E146" s="87"/>
      <c r="F146" s="87"/>
      <c r="G146" s="2"/>
      <c r="H146" s="2"/>
      <c r="I146" s="126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83"/>
      <c r="B147" s="83"/>
      <c r="C147" s="83"/>
      <c r="D147" s="83"/>
      <c r="E147" s="21"/>
      <c r="F147" s="2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66" t="s">
        <v>117</v>
      </c>
      <c r="B148" s="160"/>
      <c r="C148" s="160"/>
      <c r="D148" s="161"/>
      <c r="E148" s="11" t="s">
        <v>58</v>
      </c>
      <c r="F148" s="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80" t="s">
        <v>118</v>
      </c>
      <c r="B149" s="160"/>
      <c r="C149" s="160"/>
      <c r="D149" s="161"/>
      <c r="E149" s="127">
        <f>E57</f>
        <v>1457.4452727272726</v>
      </c>
      <c r="F149" s="128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80" t="s">
        <v>119</v>
      </c>
      <c r="B150" s="160"/>
      <c r="C150" s="160"/>
      <c r="D150" s="161"/>
      <c r="E150" s="127">
        <f>E93</f>
        <v>1334.7478035261456</v>
      </c>
      <c r="F150" s="128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80" t="s">
        <v>120</v>
      </c>
      <c r="B151" s="160"/>
      <c r="C151" s="160"/>
      <c r="D151" s="161"/>
      <c r="E151" s="127">
        <f>E117</f>
        <v>163.45858785337623</v>
      </c>
      <c r="F151" s="128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80" t="s">
        <v>121</v>
      </c>
      <c r="B152" s="160"/>
      <c r="C152" s="160"/>
      <c r="D152" s="161"/>
      <c r="E152" s="127">
        <f>F136</f>
        <v>209.64056018831639</v>
      </c>
      <c r="F152" s="128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80" t="s">
        <v>122</v>
      </c>
      <c r="B153" s="160"/>
      <c r="C153" s="160"/>
      <c r="D153" s="161"/>
      <c r="E153" s="127">
        <f>E145</f>
        <v>62.5</v>
      </c>
      <c r="F153" s="128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65" t="s">
        <v>116</v>
      </c>
      <c r="B154" s="160"/>
      <c r="C154" s="160"/>
      <c r="D154" s="161"/>
      <c r="E154" s="86">
        <f>SUM(E149:E153)</f>
        <v>3227.7922242951108</v>
      </c>
      <c r="F154" s="87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66" t="s">
        <v>123</v>
      </c>
      <c r="B156" s="160"/>
      <c r="C156" s="160"/>
      <c r="D156" s="160"/>
      <c r="E156" s="161"/>
      <c r="F156" s="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84"/>
      <c r="B157" s="161"/>
      <c r="C157" s="11" t="s">
        <v>124</v>
      </c>
      <c r="D157" s="11" t="s">
        <v>125</v>
      </c>
      <c r="E157" s="11" t="s">
        <v>58</v>
      </c>
      <c r="F157" s="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80" t="s">
        <v>126</v>
      </c>
      <c r="B158" s="161"/>
      <c r="C158" s="69">
        <f>E154</f>
        <v>3227.7922242951108</v>
      </c>
      <c r="D158" s="158">
        <v>0.1</v>
      </c>
      <c r="E158" s="69">
        <f t="shared" ref="E158:E159" si="6">C158*D158</f>
        <v>322.77922242951109</v>
      </c>
      <c r="F158" s="67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80" t="s">
        <v>127</v>
      </c>
      <c r="B159" s="161"/>
      <c r="C159" s="69">
        <f>E154+E158</f>
        <v>3550.5714467246221</v>
      </c>
      <c r="D159" s="158">
        <v>0.1</v>
      </c>
      <c r="E159" s="69">
        <f t="shared" si="6"/>
        <v>355.05714467246224</v>
      </c>
      <c r="F159" s="67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5"/>
      <c r="B160" s="129"/>
      <c r="C160" s="129"/>
      <c r="D160" s="129"/>
      <c r="E160" s="130"/>
      <c r="F160" s="67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82" t="s">
        <v>128</v>
      </c>
      <c r="B161" s="160"/>
      <c r="C161" s="160"/>
      <c r="D161" s="160"/>
      <c r="E161" s="161"/>
      <c r="F161" s="5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80" t="s">
        <v>129</v>
      </c>
      <c r="B162" s="161"/>
      <c r="C162" s="127">
        <f>(C159+E159)/((100-6.65)/100)</f>
        <v>4183.8549452566513</v>
      </c>
      <c r="D162" s="158">
        <v>6.4999999999999997E-3</v>
      </c>
      <c r="E162" s="131">
        <f t="shared" ref="E162:E164" si="7">C162*D162</f>
        <v>27.195057144168231</v>
      </c>
      <c r="F162" s="13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80" t="s">
        <v>130</v>
      </c>
      <c r="B163" s="161"/>
      <c r="C163" s="127">
        <f>(C159+E159)/((100-6.65)/100)</f>
        <v>4183.8549452566513</v>
      </c>
      <c r="D163" s="158">
        <v>0.03</v>
      </c>
      <c r="E163" s="131">
        <f t="shared" si="7"/>
        <v>125.51564835769953</v>
      </c>
      <c r="F163" s="13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80" t="s">
        <v>131</v>
      </c>
      <c r="B164" s="161"/>
      <c r="C164" s="127">
        <f>(C159+E159)/((100-6.65)/100)</f>
        <v>4183.8549452566513</v>
      </c>
      <c r="D164" s="158">
        <v>0.03</v>
      </c>
      <c r="E164" s="131">
        <f t="shared" si="7"/>
        <v>125.51564835769953</v>
      </c>
      <c r="F164" s="13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65" t="s">
        <v>132</v>
      </c>
      <c r="B165" s="160"/>
      <c r="C165" s="161"/>
      <c r="D165" s="76">
        <f t="shared" ref="D165:E165" si="8">SUM(D162:D164)</f>
        <v>6.6500000000000004E-2</v>
      </c>
      <c r="E165" s="86">
        <f t="shared" si="8"/>
        <v>278.22635385956733</v>
      </c>
      <c r="F165" s="87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65" t="s">
        <v>133</v>
      </c>
      <c r="B166" s="160"/>
      <c r="C166" s="160"/>
      <c r="D166" s="133">
        <f t="shared" ref="D166:E166" si="9">D158+D159+D165</f>
        <v>0.26650000000000001</v>
      </c>
      <c r="E166" s="77">
        <f t="shared" si="9"/>
        <v>956.06272096154066</v>
      </c>
      <c r="F166" s="78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66" t="s">
        <v>134</v>
      </c>
      <c r="B168" s="160"/>
      <c r="C168" s="160"/>
      <c r="D168" s="160"/>
      <c r="E168" s="88" t="s">
        <v>58</v>
      </c>
      <c r="F168" s="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80" t="s">
        <v>118</v>
      </c>
      <c r="B169" s="160"/>
      <c r="C169" s="160"/>
      <c r="D169" s="161"/>
      <c r="E169" s="127">
        <f>E57</f>
        <v>1457.4452727272726</v>
      </c>
      <c r="F169" s="128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80" t="s">
        <v>119</v>
      </c>
      <c r="B170" s="160"/>
      <c r="C170" s="160"/>
      <c r="D170" s="161"/>
      <c r="E170" s="127">
        <f>E93</f>
        <v>1334.7478035261456</v>
      </c>
      <c r="F170" s="128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80" t="s">
        <v>120</v>
      </c>
      <c r="B171" s="160"/>
      <c r="C171" s="160"/>
      <c r="D171" s="161"/>
      <c r="E171" s="127">
        <f>E117</f>
        <v>163.45858785337623</v>
      </c>
      <c r="F171" s="128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80" t="s">
        <v>121</v>
      </c>
      <c r="B172" s="160"/>
      <c r="C172" s="160"/>
      <c r="D172" s="161"/>
      <c r="E172" s="84">
        <f t="shared" ref="E172:E173" si="10">E152</f>
        <v>209.64056018831639</v>
      </c>
      <c r="F172" s="85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80" t="s">
        <v>122</v>
      </c>
      <c r="B173" s="160"/>
      <c r="C173" s="160"/>
      <c r="D173" s="161"/>
      <c r="E173" s="127">
        <f t="shared" si="10"/>
        <v>62.5</v>
      </c>
      <c r="F173" s="128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80" t="s">
        <v>135</v>
      </c>
      <c r="B174" s="160"/>
      <c r="C174" s="160"/>
      <c r="D174" s="161"/>
      <c r="E174" s="134">
        <f>E166</f>
        <v>956.06272096154066</v>
      </c>
      <c r="F174" s="135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83" t="s">
        <v>136</v>
      </c>
      <c r="B175" s="160"/>
      <c r="C175" s="160"/>
      <c r="D175" s="161"/>
      <c r="E175" s="136">
        <f>SUM(E169:E174)</f>
        <v>4183.8549452566513</v>
      </c>
      <c r="F175" s="137"/>
      <c r="G175" s="59"/>
      <c r="H175" s="102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</row>
    <row r="176" spans="1:26" ht="15.75" customHeight="1">
      <c r="A176" s="138"/>
      <c r="B176" s="138"/>
      <c r="C176" s="138"/>
      <c r="D176" s="138"/>
      <c r="E176" s="137"/>
      <c r="F176" s="137"/>
      <c r="G176" s="59"/>
      <c r="H176" s="102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</sheetData>
  <sheetProtection password="EE98" sheet="1" objects="1" scenarios="1"/>
  <mergeCells count="132">
    <mergeCell ref="A15:B15"/>
    <mergeCell ref="A16:B16"/>
    <mergeCell ref="A19:B19"/>
    <mergeCell ref="A21:B21"/>
    <mergeCell ref="A23:C23"/>
    <mergeCell ref="A26:B26"/>
    <mergeCell ref="A29:E29"/>
    <mergeCell ref="A48:C48"/>
    <mergeCell ref="A49:C49"/>
    <mergeCell ref="C8:E8"/>
    <mergeCell ref="C9:E9"/>
    <mergeCell ref="C10:E10"/>
    <mergeCell ref="C11:E11"/>
    <mergeCell ref="A8:B8"/>
    <mergeCell ref="A9:B9"/>
    <mergeCell ref="A10:B10"/>
    <mergeCell ref="A13:B13"/>
    <mergeCell ref="A14:B14"/>
    <mergeCell ref="A1:E1"/>
    <mergeCell ref="A2:E2"/>
    <mergeCell ref="B3:D3"/>
    <mergeCell ref="A4:E4"/>
    <mergeCell ref="A5:B5"/>
    <mergeCell ref="C5:E5"/>
    <mergeCell ref="C6:E6"/>
    <mergeCell ref="A6:B6"/>
    <mergeCell ref="A7:B7"/>
    <mergeCell ref="C7:E7"/>
    <mergeCell ref="I48:L48"/>
    <mergeCell ref="A30:A31"/>
    <mergeCell ref="B30:B31"/>
    <mergeCell ref="C30:C31"/>
    <mergeCell ref="D30:E30"/>
    <mergeCell ref="A44:D44"/>
    <mergeCell ref="A46:C46"/>
    <mergeCell ref="A47:C47"/>
    <mergeCell ref="A69:C69"/>
    <mergeCell ref="A63:C63"/>
    <mergeCell ref="A64:D64"/>
    <mergeCell ref="A66:E66"/>
    <mergeCell ref="A67:B67"/>
    <mergeCell ref="A68:C68"/>
    <mergeCell ref="A51:E51"/>
    <mergeCell ref="A53:E53"/>
    <mergeCell ref="A56:C56"/>
    <mergeCell ref="A57:D57"/>
    <mergeCell ref="A59:E59"/>
    <mergeCell ref="A60:E60"/>
    <mergeCell ref="A61:C61"/>
    <mergeCell ref="A62:C62"/>
    <mergeCell ref="A70:C70"/>
    <mergeCell ref="A71:C71"/>
    <mergeCell ref="A72:C72"/>
    <mergeCell ref="A73:C73"/>
    <mergeCell ref="A74:C74"/>
    <mergeCell ref="A75:C75"/>
    <mergeCell ref="A144:B144"/>
    <mergeCell ref="A145:D145"/>
    <mergeCell ref="A148:D148"/>
    <mergeCell ref="A76:C76"/>
    <mergeCell ref="A77:C77"/>
    <mergeCell ref="A79:E79"/>
    <mergeCell ref="A80:D80"/>
    <mergeCell ref="A81:D81"/>
    <mergeCell ref="A82:D82"/>
    <mergeCell ref="A83:D83"/>
    <mergeCell ref="A84:D84"/>
    <mergeCell ref="A85:D85"/>
    <mergeCell ref="A86:D86"/>
    <mergeCell ref="A88:E88"/>
    <mergeCell ref="A89:D89"/>
    <mergeCell ref="A90:D90"/>
    <mergeCell ref="A91:D91"/>
    <mergeCell ref="A92:D92"/>
    <mergeCell ref="A149:D149"/>
    <mergeCell ref="A150:D150"/>
    <mergeCell ref="A151:D151"/>
    <mergeCell ref="A152:D152"/>
    <mergeCell ref="A153:D153"/>
    <mergeCell ref="A154:D154"/>
    <mergeCell ref="A156:E156"/>
    <mergeCell ref="A157:B157"/>
    <mergeCell ref="A158:B158"/>
    <mergeCell ref="A159:B159"/>
    <mergeCell ref="A161:E161"/>
    <mergeCell ref="A170:D170"/>
    <mergeCell ref="A171:D171"/>
    <mergeCell ref="A172:D172"/>
    <mergeCell ref="A173:D173"/>
    <mergeCell ref="A174:D174"/>
    <mergeCell ref="A175:D175"/>
    <mergeCell ref="A162:B162"/>
    <mergeCell ref="A163:B163"/>
    <mergeCell ref="A164:B164"/>
    <mergeCell ref="A165:C165"/>
    <mergeCell ref="A166:C166"/>
    <mergeCell ref="A168:D168"/>
    <mergeCell ref="A169:D169"/>
    <mergeCell ref="A93:D93"/>
    <mergeCell ref="A95:E95"/>
    <mergeCell ref="A97:C97"/>
    <mergeCell ref="A98:C98"/>
    <mergeCell ref="A99:C99"/>
    <mergeCell ref="A100:C100"/>
    <mergeCell ref="A101:C101"/>
    <mergeCell ref="A103:C103"/>
    <mergeCell ref="A104:C104"/>
    <mergeCell ref="A105:C105"/>
    <mergeCell ref="A106:C106"/>
    <mergeCell ref="A107:C107"/>
    <mergeCell ref="A109:C109"/>
    <mergeCell ref="A110:C110"/>
    <mergeCell ref="A111:C111"/>
    <mergeCell ref="A113:D113"/>
    <mergeCell ref="A114:D114"/>
    <mergeCell ref="A115:D115"/>
    <mergeCell ref="A137:E137"/>
    <mergeCell ref="A138:B138"/>
    <mergeCell ref="A139:B139"/>
    <mergeCell ref="A140:B140"/>
    <mergeCell ref="A141:B141"/>
    <mergeCell ref="A142:B142"/>
    <mergeCell ref="A143:B143"/>
    <mergeCell ref="A116:D116"/>
    <mergeCell ref="A117:C117"/>
    <mergeCell ref="A119:E119"/>
    <mergeCell ref="A120:E120"/>
    <mergeCell ref="A121:E121"/>
    <mergeCell ref="B122:B123"/>
    <mergeCell ref="C122:C123"/>
    <mergeCell ref="D122:E122"/>
    <mergeCell ref="A136:D136"/>
  </mergeCells>
  <pageMargins left="0.7" right="0.7" top="0.75" bottom="0.75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1"/>
  <sheetViews>
    <sheetView workbookViewId="0"/>
  </sheetViews>
  <sheetFormatPr defaultColWidth="12.625" defaultRowHeight="15" customHeight="1"/>
  <cols>
    <col min="1" max="1" width="29.625" customWidth="1"/>
    <col min="2" max="2" width="10.125" customWidth="1"/>
    <col min="3" max="3" width="10.625" customWidth="1"/>
    <col min="4" max="4" width="9.5" customWidth="1"/>
    <col min="5" max="5" width="9.75" customWidth="1"/>
    <col min="6" max="23" width="7.625" customWidth="1"/>
  </cols>
  <sheetData>
    <row r="1" spans="1:23">
      <c r="A1" s="159" t="s">
        <v>107</v>
      </c>
      <c r="B1" s="160"/>
      <c r="C1" s="160"/>
      <c r="D1" s="160"/>
      <c r="E1" s="161"/>
    </row>
    <row r="2" spans="1:23">
      <c r="A2" s="163" t="s">
        <v>137</v>
      </c>
      <c r="B2" s="160"/>
      <c r="C2" s="160"/>
      <c r="D2" s="161"/>
      <c r="E2" s="139"/>
    </row>
    <row r="3" spans="1:23">
      <c r="A3" s="140" t="s">
        <v>138</v>
      </c>
      <c r="B3" s="140" t="s">
        <v>139</v>
      </c>
      <c r="C3" s="140" t="s">
        <v>140</v>
      </c>
      <c r="D3" s="140" t="s">
        <v>141</v>
      </c>
      <c r="E3" s="141" t="s">
        <v>58</v>
      </c>
    </row>
    <row r="4" spans="1:23" ht="21.75" customHeight="1">
      <c r="A4" s="142" t="s">
        <v>142</v>
      </c>
      <c r="B4" s="143">
        <v>0.5</v>
      </c>
      <c r="C4" s="144">
        <v>22.85</v>
      </c>
      <c r="D4" s="145">
        <f t="shared" ref="D4:D55" si="0">B4*C4</f>
        <v>11.425000000000001</v>
      </c>
      <c r="E4" s="146">
        <f t="shared" ref="E4:E55" si="1">D4/12</f>
        <v>0.95208333333333339</v>
      </c>
    </row>
    <row r="5" spans="1:23" ht="21" customHeight="1">
      <c r="A5" s="142" t="s">
        <v>143</v>
      </c>
      <c r="B5" s="143">
        <v>0.5</v>
      </c>
      <c r="C5" s="144">
        <v>57.15</v>
      </c>
      <c r="D5" s="145">
        <f t="shared" si="0"/>
        <v>28.574999999999999</v>
      </c>
      <c r="E5" s="146">
        <f t="shared" si="1"/>
        <v>2.3812500000000001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9.5" customHeight="1">
      <c r="A6" s="142" t="s">
        <v>144</v>
      </c>
      <c r="B6" s="143">
        <v>0.5</v>
      </c>
      <c r="C6" s="144">
        <v>26.5</v>
      </c>
      <c r="D6" s="145">
        <f t="shared" si="0"/>
        <v>13.25</v>
      </c>
      <c r="E6" s="146">
        <f t="shared" si="1"/>
        <v>1.1041666666666667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38.25" customHeight="1">
      <c r="A7" s="142" t="s">
        <v>145</v>
      </c>
      <c r="B7" s="143">
        <v>0.5</v>
      </c>
      <c r="C7" s="144">
        <v>60.9</v>
      </c>
      <c r="D7" s="145">
        <f t="shared" si="0"/>
        <v>30.45</v>
      </c>
      <c r="E7" s="146">
        <f t="shared" si="1"/>
        <v>2.5375000000000001</v>
      </c>
    </row>
    <row r="8" spans="1:23" ht="20.25" customHeight="1">
      <c r="A8" s="142" t="s">
        <v>146</v>
      </c>
      <c r="B8" s="143">
        <v>0.5</v>
      </c>
      <c r="C8" s="144">
        <v>45.8</v>
      </c>
      <c r="D8" s="145">
        <f t="shared" si="0"/>
        <v>22.9</v>
      </c>
      <c r="E8" s="146">
        <f t="shared" si="1"/>
        <v>1.9083333333333332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27" customHeight="1">
      <c r="A9" s="142" t="s">
        <v>147</v>
      </c>
      <c r="B9" s="143">
        <v>0.5</v>
      </c>
      <c r="C9" s="144">
        <v>31.44</v>
      </c>
      <c r="D9" s="145">
        <f t="shared" si="0"/>
        <v>15.72</v>
      </c>
      <c r="E9" s="146">
        <f t="shared" si="1"/>
        <v>1.31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33.75" customHeight="1">
      <c r="A10" s="142" t="s">
        <v>148</v>
      </c>
      <c r="B10" s="143">
        <v>0.5</v>
      </c>
      <c r="C10" s="144">
        <v>36.799999999999997</v>
      </c>
      <c r="D10" s="145">
        <f t="shared" si="0"/>
        <v>18.399999999999999</v>
      </c>
      <c r="E10" s="146">
        <f t="shared" si="1"/>
        <v>1.5333333333333332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29.25" customHeight="1">
      <c r="A11" s="142" t="s">
        <v>149</v>
      </c>
      <c r="B11" s="143">
        <v>0.5</v>
      </c>
      <c r="C11" s="144">
        <v>27.95</v>
      </c>
      <c r="D11" s="145">
        <f t="shared" si="0"/>
        <v>13.975</v>
      </c>
      <c r="E11" s="146">
        <f t="shared" si="1"/>
        <v>1.1645833333333333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33" customHeight="1">
      <c r="A12" s="142" t="s">
        <v>150</v>
      </c>
      <c r="B12" s="143">
        <v>0.5</v>
      </c>
      <c r="C12" s="144">
        <v>27.41</v>
      </c>
      <c r="D12" s="145">
        <f t="shared" si="0"/>
        <v>13.705</v>
      </c>
      <c r="E12" s="146">
        <f t="shared" si="1"/>
        <v>1.1420833333333333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23.25" customHeight="1">
      <c r="A13" s="142" t="s">
        <v>151</v>
      </c>
      <c r="B13" s="143">
        <v>0.5</v>
      </c>
      <c r="C13" s="144">
        <v>333.68</v>
      </c>
      <c r="D13" s="145">
        <f t="shared" si="0"/>
        <v>166.84</v>
      </c>
      <c r="E13" s="146">
        <f t="shared" si="1"/>
        <v>13.903333333333334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36" customHeight="1">
      <c r="A14" s="142" t="s">
        <v>152</v>
      </c>
      <c r="B14" s="143">
        <v>0.5</v>
      </c>
      <c r="C14" s="144">
        <v>8.89</v>
      </c>
      <c r="D14" s="145">
        <f t="shared" si="0"/>
        <v>4.4450000000000003</v>
      </c>
      <c r="E14" s="146">
        <f t="shared" si="1"/>
        <v>0.37041666666666667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30.75" customHeight="1">
      <c r="A15" s="142" t="s">
        <v>153</v>
      </c>
      <c r="B15" s="143">
        <v>0.5</v>
      </c>
      <c r="C15" s="144">
        <v>99.66</v>
      </c>
      <c r="D15" s="145">
        <f t="shared" si="0"/>
        <v>49.83</v>
      </c>
      <c r="E15" s="146">
        <f t="shared" si="1"/>
        <v>4.1524999999999999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27" customHeight="1">
      <c r="A16" s="142" t="s">
        <v>154</v>
      </c>
      <c r="B16" s="143">
        <v>0.5</v>
      </c>
      <c r="C16" s="144">
        <v>44.56</v>
      </c>
      <c r="D16" s="145">
        <f t="shared" si="0"/>
        <v>22.28</v>
      </c>
      <c r="E16" s="146">
        <f t="shared" si="1"/>
        <v>1.8566666666666667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21.75" customHeight="1">
      <c r="A17" s="142" t="s">
        <v>155</v>
      </c>
      <c r="B17" s="143">
        <v>0.5</v>
      </c>
      <c r="C17" s="144">
        <v>11.17</v>
      </c>
      <c r="D17" s="145">
        <f t="shared" si="0"/>
        <v>5.585</v>
      </c>
      <c r="E17" s="146">
        <f t="shared" si="1"/>
        <v>0.46541666666666665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31.5" customHeight="1">
      <c r="A18" s="142" t="s">
        <v>156</v>
      </c>
      <c r="B18" s="143">
        <v>0.5</v>
      </c>
      <c r="C18" s="144">
        <v>39.49</v>
      </c>
      <c r="D18" s="145">
        <f t="shared" si="0"/>
        <v>19.745000000000001</v>
      </c>
      <c r="E18" s="146">
        <f t="shared" si="1"/>
        <v>1.6454166666666667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29.25" customHeight="1">
      <c r="A19" s="142" t="s">
        <v>157</v>
      </c>
      <c r="B19" s="143">
        <v>0.5</v>
      </c>
      <c r="C19" s="144">
        <v>20.95</v>
      </c>
      <c r="D19" s="145">
        <f t="shared" si="0"/>
        <v>10.475</v>
      </c>
      <c r="E19" s="146">
        <f t="shared" si="1"/>
        <v>0.87291666666666667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32.25" customHeight="1">
      <c r="A20" s="142" t="s">
        <v>158</v>
      </c>
      <c r="B20" s="143">
        <v>0.5</v>
      </c>
      <c r="C20" s="144">
        <v>301.33</v>
      </c>
      <c r="D20" s="145">
        <f t="shared" si="0"/>
        <v>150.66499999999999</v>
      </c>
      <c r="E20" s="146">
        <f t="shared" si="1"/>
        <v>12.555416666666666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30.75" customHeight="1">
      <c r="A21" s="142" t="s">
        <v>159</v>
      </c>
      <c r="B21" s="143">
        <v>0.5</v>
      </c>
      <c r="C21" s="144">
        <v>54.9</v>
      </c>
      <c r="D21" s="145">
        <f t="shared" si="0"/>
        <v>27.45</v>
      </c>
      <c r="E21" s="146">
        <f t="shared" si="1"/>
        <v>2.2875000000000001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30.75" customHeight="1">
      <c r="A22" s="142" t="s">
        <v>160</v>
      </c>
      <c r="B22" s="143">
        <v>0.5</v>
      </c>
      <c r="C22" s="144">
        <v>14.34</v>
      </c>
      <c r="D22" s="145">
        <f t="shared" si="0"/>
        <v>7.17</v>
      </c>
      <c r="E22" s="146">
        <f t="shared" si="1"/>
        <v>0.59750000000000003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30" customHeight="1">
      <c r="A23" s="142" t="s">
        <v>161</v>
      </c>
      <c r="B23" s="143">
        <v>0.5</v>
      </c>
      <c r="C23" s="144">
        <v>45.67</v>
      </c>
      <c r="D23" s="145">
        <f t="shared" si="0"/>
        <v>22.835000000000001</v>
      </c>
      <c r="E23" s="146">
        <f t="shared" si="1"/>
        <v>1.9029166666666668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32.25" customHeight="1">
      <c r="A24" s="142" t="s">
        <v>162</v>
      </c>
      <c r="B24" s="49">
        <v>0.33300000000000002</v>
      </c>
      <c r="C24" s="144">
        <v>572.54</v>
      </c>
      <c r="D24" s="145">
        <f t="shared" si="0"/>
        <v>190.65582000000001</v>
      </c>
      <c r="E24" s="146">
        <f t="shared" si="1"/>
        <v>15.887985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27" customHeight="1">
      <c r="A25" s="142" t="s">
        <v>163</v>
      </c>
      <c r="B25" s="49">
        <v>0.33300000000000002</v>
      </c>
      <c r="C25" s="144">
        <v>912.56</v>
      </c>
      <c r="D25" s="145">
        <f t="shared" si="0"/>
        <v>303.88247999999999</v>
      </c>
      <c r="E25" s="146">
        <f t="shared" si="1"/>
        <v>25.323539999999998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30" customHeight="1">
      <c r="A26" s="142" t="s">
        <v>164</v>
      </c>
      <c r="B26" s="49">
        <v>0.5</v>
      </c>
      <c r="C26" s="144">
        <v>14.98</v>
      </c>
      <c r="D26" s="145">
        <f t="shared" si="0"/>
        <v>7.49</v>
      </c>
      <c r="E26" s="146">
        <f t="shared" si="1"/>
        <v>0.62416666666666665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30" customHeight="1">
      <c r="A27" s="142" t="s">
        <v>165</v>
      </c>
      <c r="B27" s="147">
        <v>0.5</v>
      </c>
      <c r="C27" s="144">
        <v>42.38</v>
      </c>
      <c r="D27" s="145">
        <f t="shared" si="0"/>
        <v>21.19</v>
      </c>
      <c r="E27" s="146">
        <f t="shared" si="1"/>
        <v>1.7658333333333334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20.25" customHeight="1">
      <c r="A28" s="142" t="s">
        <v>166</v>
      </c>
      <c r="B28" s="147">
        <v>0.5</v>
      </c>
      <c r="C28" s="144">
        <v>23.55</v>
      </c>
      <c r="D28" s="145">
        <f t="shared" si="0"/>
        <v>11.775</v>
      </c>
      <c r="E28" s="146">
        <f t="shared" si="1"/>
        <v>0.98125000000000007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20.25" customHeight="1">
      <c r="A29" s="142" t="s">
        <v>167</v>
      </c>
      <c r="B29" s="49">
        <v>0.33300000000000002</v>
      </c>
      <c r="C29" s="144">
        <v>312.97000000000003</v>
      </c>
      <c r="D29" s="145">
        <f t="shared" si="0"/>
        <v>104.21901000000001</v>
      </c>
      <c r="E29" s="146">
        <f t="shared" si="1"/>
        <v>8.684917500000001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30" customHeight="1">
      <c r="A30" s="142" t="s">
        <v>168</v>
      </c>
      <c r="B30" s="49">
        <v>0.33300000000000002</v>
      </c>
      <c r="C30" s="144">
        <v>439.3</v>
      </c>
      <c r="D30" s="145">
        <f t="shared" si="0"/>
        <v>146.2869</v>
      </c>
      <c r="E30" s="146">
        <f t="shared" si="1"/>
        <v>12.190575000000001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20.25" customHeight="1">
      <c r="A31" s="142" t="s">
        <v>169</v>
      </c>
      <c r="B31" s="49">
        <v>3</v>
      </c>
      <c r="C31" s="144">
        <v>4.0199999999999996</v>
      </c>
      <c r="D31" s="145">
        <f t="shared" si="0"/>
        <v>12.059999999999999</v>
      </c>
      <c r="E31" s="146">
        <f t="shared" si="1"/>
        <v>1.0049999999999999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32.25" customHeight="1">
      <c r="A32" s="142" t="s">
        <v>170</v>
      </c>
      <c r="B32" s="49">
        <v>0.33300000000000002</v>
      </c>
      <c r="C32" s="144">
        <v>1214.98</v>
      </c>
      <c r="D32" s="145">
        <f t="shared" si="0"/>
        <v>404.58834000000002</v>
      </c>
      <c r="E32" s="146">
        <f t="shared" si="1"/>
        <v>33.715695000000004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33.75" customHeight="1">
      <c r="A33" s="142" t="s">
        <v>171</v>
      </c>
      <c r="B33" s="49">
        <v>0.33300000000000002</v>
      </c>
      <c r="C33" s="144">
        <v>382.52</v>
      </c>
      <c r="D33" s="145">
        <f t="shared" si="0"/>
        <v>127.37916</v>
      </c>
      <c r="E33" s="146">
        <f t="shared" si="1"/>
        <v>10.614929999999999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33.75" customHeight="1">
      <c r="A34" s="142" t="s">
        <v>172</v>
      </c>
      <c r="B34" s="49">
        <v>0.33300000000000002</v>
      </c>
      <c r="C34" s="144">
        <v>202.5</v>
      </c>
      <c r="D34" s="145">
        <f t="shared" si="0"/>
        <v>67.432500000000005</v>
      </c>
      <c r="E34" s="146">
        <f t="shared" si="1"/>
        <v>5.6193750000000007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33.75" customHeight="1">
      <c r="A35" s="142" t="s">
        <v>173</v>
      </c>
      <c r="B35" s="49">
        <v>0.33300000000000002</v>
      </c>
      <c r="C35" s="144">
        <v>35.200000000000003</v>
      </c>
      <c r="D35" s="145">
        <f t="shared" si="0"/>
        <v>11.721600000000002</v>
      </c>
      <c r="E35" s="146">
        <f t="shared" si="1"/>
        <v>0.97680000000000022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33.75" customHeight="1">
      <c r="A36" s="142" t="s">
        <v>174</v>
      </c>
      <c r="B36" s="147">
        <v>0.5</v>
      </c>
      <c r="C36" s="144">
        <v>86.77</v>
      </c>
      <c r="D36" s="145">
        <f t="shared" si="0"/>
        <v>43.384999999999998</v>
      </c>
      <c r="E36" s="146">
        <f t="shared" si="1"/>
        <v>3.6154166666666665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33.75" customHeight="1">
      <c r="A37" s="142" t="s">
        <v>175</v>
      </c>
      <c r="B37" s="147">
        <v>0.5</v>
      </c>
      <c r="C37" s="144">
        <v>50.95</v>
      </c>
      <c r="D37" s="145">
        <f t="shared" si="0"/>
        <v>25.475000000000001</v>
      </c>
      <c r="E37" s="146">
        <f t="shared" si="1"/>
        <v>2.1229166666666668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33.75" customHeight="1">
      <c r="A38" s="142" t="s">
        <v>176</v>
      </c>
      <c r="B38" s="147">
        <v>0.5</v>
      </c>
      <c r="C38" s="144">
        <v>84.16</v>
      </c>
      <c r="D38" s="145">
        <f t="shared" si="0"/>
        <v>42.08</v>
      </c>
      <c r="E38" s="146">
        <f t="shared" si="1"/>
        <v>3.5066666666666664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33.75" customHeight="1">
      <c r="A39" s="142" t="s">
        <v>177</v>
      </c>
      <c r="B39" s="147">
        <v>0.5</v>
      </c>
      <c r="C39" s="144">
        <v>49.95</v>
      </c>
      <c r="D39" s="145">
        <f t="shared" si="0"/>
        <v>24.975000000000001</v>
      </c>
      <c r="E39" s="146">
        <f t="shared" si="1"/>
        <v>2.0812500000000003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33.75" customHeight="1">
      <c r="A40" s="142" t="s">
        <v>178</v>
      </c>
      <c r="B40" s="49">
        <v>0.33300000000000002</v>
      </c>
      <c r="C40" s="144">
        <v>345.94</v>
      </c>
      <c r="D40" s="145">
        <f t="shared" si="0"/>
        <v>115.19802</v>
      </c>
      <c r="E40" s="146">
        <f t="shared" si="1"/>
        <v>9.5998350000000006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33.75" customHeight="1">
      <c r="A41" s="142" t="s">
        <v>179</v>
      </c>
      <c r="B41" s="49">
        <v>0.33300000000000002</v>
      </c>
      <c r="C41" s="144">
        <v>106.22</v>
      </c>
      <c r="D41" s="145">
        <f t="shared" si="0"/>
        <v>35.371259999999999</v>
      </c>
      <c r="E41" s="146">
        <f t="shared" si="1"/>
        <v>2.9476049999999998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33.75" customHeight="1">
      <c r="A42" s="142" t="s">
        <v>180</v>
      </c>
      <c r="B42" s="147">
        <v>0.5</v>
      </c>
      <c r="C42" s="144">
        <v>259.7</v>
      </c>
      <c r="D42" s="145">
        <f t="shared" si="0"/>
        <v>129.85</v>
      </c>
      <c r="E42" s="146">
        <f t="shared" si="1"/>
        <v>10.820833333333333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33.75" customHeight="1">
      <c r="A43" s="142" t="s">
        <v>181</v>
      </c>
      <c r="B43" s="147">
        <v>0.5</v>
      </c>
      <c r="C43" s="144">
        <v>27.05</v>
      </c>
      <c r="D43" s="145">
        <f t="shared" si="0"/>
        <v>13.525</v>
      </c>
      <c r="E43" s="146">
        <f t="shared" si="1"/>
        <v>1.1270833333333334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33.75" customHeight="1">
      <c r="A44" s="142" t="s">
        <v>182</v>
      </c>
      <c r="B44" s="147">
        <v>0.5</v>
      </c>
      <c r="C44" s="144">
        <v>26.5</v>
      </c>
      <c r="D44" s="145">
        <f t="shared" si="0"/>
        <v>13.25</v>
      </c>
      <c r="E44" s="146">
        <f t="shared" si="1"/>
        <v>1.1041666666666667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33.75" customHeight="1">
      <c r="A45" s="142" t="s">
        <v>183</v>
      </c>
      <c r="B45" s="49">
        <v>0.33300000000000002</v>
      </c>
      <c r="C45" s="144">
        <v>544.63</v>
      </c>
      <c r="D45" s="145">
        <f t="shared" si="0"/>
        <v>181.36179000000001</v>
      </c>
      <c r="E45" s="146">
        <f t="shared" si="1"/>
        <v>15.113482500000002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33.75" customHeight="1">
      <c r="A46" s="142" t="s">
        <v>184</v>
      </c>
      <c r="B46" s="49">
        <v>0.33300000000000002</v>
      </c>
      <c r="C46" s="144">
        <v>584.25</v>
      </c>
      <c r="D46" s="145">
        <f t="shared" si="0"/>
        <v>194.55525</v>
      </c>
      <c r="E46" s="146">
        <f t="shared" si="1"/>
        <v>16.212937499999999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33.75" customHeight="1">
      <c r="A47" s="142" t="s">
        <v>185</v>
      </c>
      <c r="B47" s="147">
        <v>0.5</v>
      </c>
      <c r="C47" s="144">
        <v>57.4</v>
      </c>
      <c r="D47" s="145">
        <f t="shared" si="0"/>
        <v>28.7</v>
      </c>
      <c r="E47" s="146">
        <f t="shared" si="1"/>
        <v>2.3916666666666666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33.75" customHeight="1">
      <c r="A48" s="142" t="s">
        <v>186</v>
      </c>
      <c r="B48" s="147">
        <v>0.5</v>
      </c>
      <c r="C48" s="144">
        <v>82.9</v>
      </c>
      <c r="D48" s="145">
        <f t="shared" si="0"/>
        <v>41.45</v>
      </c>
      <c r="E48" s="146">
        <f t="shared" si="1"/>
        <v>3.4541666666666671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33.75" customHeight="1">
      <c r="A49" s="142" t="s">
        <v>187</v>
      </c>
      <c r="B49" s="49">
        <v>0.33300000000000002</v>
      </c>
      <c r="C49" s="144">
        <v>23.9</v>
      </c>
      <c r="D49" s="145">
        <f t="shared" si="0"/>
        <v>7.9587000000000003</v>
      </c>
      <c r="E49" s="146">
        <f t="shared" si="1"/>
        <v>0.66322500000000006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20.25" customHeight="1">
      <c r="A50" s="142" t="s">
        <v>188</v>
      </c>
      <c r="B50" s="49">
        <v>0.33300000000000002</v>
      </c>
      <c r="C50" s="144">
        <v>57.88</v>
      </c>
      <c r="D50" s="145">
        <f t="shared" si="0"/>
        <v>19.274040000000003</v>
      </c>
      <c r="E50" s="146">
        <f t="shared" si="1"/>
        <v>1.6061700000000003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30" customHeight="1">
      <c r="A51" s="142" t="s">
        <v>189</v>
      </c>
      <c r="B51" s="147">
        <v>0.5</v>
      </c>
      <c r="C51" s="144">
        <v>40.82</v>
      </c>
      <c r="D51" s="145">
        <f t="shared" si="0"/>
        <v>20.41</v>
      </c>
      <c r="E51" s="146">
        <f t="shared" si="1"/>
        <v>1.7008333333333334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33.75" customHeight="1">
      <c r="A52" s="142" t="s">
        <v>190</v>
      </c>
      <c r="B52" s="49">
        <v>4</v>
      </c>
      <c r="C52" s="144">
        <v>111.66</v>
      </c>
      <c r="D52" s="145">
        <f t="shared" si="0"/>
        <v>446.64</v>
      </c>
      <c r="E52" s="146">
        <f t="shared" si="1"/>
        <v>37.22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30.75" customHeight="1">
      <c r="A53" s="142" t="s">
        <v>191</v>
      </c>
      <c r="B53" s="49">
        <v>2</v>
      </c>
      <c r="C53" s="144">
        <v>67.900000000000006</v>
      </c>
      <c r="D53" s="145">
        <f t="shared" si="0"/>
        <v>135.80000000000001</v>
      </c>
      <c r="E53" s="146">
        <f t="shared" si="1"/>
        <v>11.316666666666668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5.75" customHeight="1">
      <c r="A54" s="142" t="s">
        <v>192</v>
      </c>
      <c r="B54" s="49">
        <v>3</v>
      </c>
      <c r="C54" s="144">
        <v>4.38</v>
      </c>
      <c r="D54" s="145">
        <f t="shared" si="0"/>
        <v>13.14</v>
      </c>
      <c r="E54" s="146">
        <f t="shared" si="1"/>
        <v>1.095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29.25" customHeight="1">
      <c r="A55" s="142" t="s">
        <v>193</v>
      </c>
      <c r="B55" s="49">
        <v>12</v>
      </c>
      <c r="C55" s="144">
        <v>2.57</v>
      </c>
      <c r="D55" s="145">
        <f t="shared" si="0"/>
        <v>30.839999999999996</v>
      </c>
      <c r="E55" s="146">
        <f t="shared" si="1"/>
        <v>2.57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5.75" customHeight="1">
      <c r="A56" s="207" t="s">
        <v>116</v>
      </c>
      <c r="B56" s="208"/>
      <c r="C56" s="208"/>
      <c r="D56" s="209"/>
      <c r="E56" s="148">
        <f>SUM(E4:E55)</f>
        <v>302.30332250000004</v>
      </c>
    </row>
    <row r="57" spans="1:23" ht="15.75" customHeight="1"/>
    <row r="58" spans="1:23" ht="15.75" customHeight="1"/>
    <row r="59" spans="1:23" ht="15.75" customHeight="1"/>
    <row r="60" spans="1:23" ht="15.75" customHeight="1"/>
    <row r="61" spans="1:23" ht="15.75" customHeight="1"/>
    <row r="62" spans="1:23" ht="15.75" customHeight="1"/>
    <row r="63" spans="1:23" ht="15.75" customHeight="1"/>
    <row r="64" spans="1:2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</sheetData>
  <mergeCells count="3">
    <mergeCell ref="A1:E1"/>
    <mergeCell ref="A2:D2"/>
    <mergeCell ref="A56:D56"/>
  </mergeCells>
  <conditionalFormatting sqref="B4:C55">
    <cfRule type="notContainsBlanks" dxfId="0" priority="1">
      <formula>LEN(TRIM(B4))&gt;0</formula>
    </cfRule>
  </conditionalFormatting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Oficial de manutenção LP</vt:lpstr>
      <vt:lpstr>MÓDULO 5 - INSUMOS DIVERSOS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Margere</dc:creator>
  <cp:lastModifiedBy>Usuário</cp:lastModifiedBy>
  <dcterms:created xsi:type="dcterms:W3CDTF">2017-08-17T21:14:09Z</dcterms:created>
  <dcterms:modified xsi:type="dcterms:W3CDTF">2022-04-28T11:19:54Z</dcterms:modified>
</cp:coreProperties>
</file>