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25" windowWidth="20775" windowHeight="11445" activeTab="2"/>
  </bookViews>
  <sheets>
    <sheet name="EPIs_Equipamentos_Combustíveis_" sheetId="1" r:id="rId1"/>
    <sheet name="Depreciação" sheetId="2" r:id="rId2"/>
    <sheet name="Postos_8h_LC_123" sheetId="3" r:id="rId3"/>
  </sheets>
  <calcPr calcId="144525"/>
  <extLst>
    <ext uri="GoogleSheetsCustomDataVersion1">
      <go:sheetsCustomData xmlns:go="http://customooxmlschemas.google.com/" r:id="rId7" roundtripDataSignature="AMtx7mhkTCSxKXHY0gGX7UPNFSOy6EH8cw=="/>
    </ext>
  </extLst>
</workbook>
</file>

<file path=xl/calcChain.xml><?xml version="1.0" encoding="utf-8"?>
<calcChain xmlns="http://schemas.openxmlformats.org/spreadsheetml/2006/main">
  <c r="D181" i="3" l="1"/>
  <c r="D163" i="3"/>
  <c r="D164" i="3" s="1"/>
  <c r="A144" i="3"/>
  <c r="A143" i="3"/>
  <c r="A142" i="3"/>
  <c r="D138" i="3"/>
  <c r="E87" i="3"/>
  <c r="D81" i="3"/>
  <c r="D109" i="3" s="1"/>
  <c r="D79" i="3"/>
  <c r="E58" i="3"/>
  <c r="C57" i="3"/>
  <c r="E57" i="3" s="1"/>
  <c r="D48" i="3"/>
  <c r="E86" i="3" s="1"/>
  <c r="E42" i="3"/>
  <c r="C25" i="3"/>
  <c r="E20" i="3"/>
  <c r="C92" i="1"/>
  <c r="C90" i="1"/>
  <c r="E90" i="1" s="1"/>
  <c r="D91" i="1" s="1"/>
  <c r="E91" i="1" s="1"/>
  <c r="D92" i="1" s="1"/>
  <c r="E92" i="1" s="1"/>
  <c r="F93" i="1" s="1"/>
  <c r="E88" i="1"/>
  <c r="C83" i="1"/>
  <c r="E83" i="1" s="1"/>
  <c r="F84" i="1" s="1"/>
  <c r="D77" i="1"/>
  <c r="C77" i="1"/>
  <c r="E77" i="1" s="1"/>
  <c r="E75" i="1"/>
  <c r="F79" i="1" s="1"/>
  <c r="D75" i="1"/>
  <c r="D78" i="1" s="1"/>
  <c r="C75" i="1"/>
  <c r="E65" i="1"/>
  <c r="C65" i="1"/>
  <c r="D64" i="1"/>
  <c r="E64" i="1" s="1"/>
  <c r="D66" i="1" s="1"/>
  <c r="E66" i="1" s="1"/>
  <c r="F67" i="1" s="1"/>
  <c r="C59" i="1"/>
  <c r="C54" i="1"/>
  <c r="D53" i="1"/>
  <c r="E48" i="1"/>
  <c r="D48" i="1"/>
  <c r="C41" i="1"/>
  <c r="C40" i="1"/>
  <c r="C55" i="1" s="1"/>
  <c r="E37" i="1"/>
  <c r="D40" i="1" s="1"/>
  <c r="C37" i="1"/>
  <c r="C53" i="1" s="1"/>
  <c r="E53" i="1" s="1"/>
  <c r="C36" i="1"/>
  <c r="C35" i="1"/>
  <c r="E32" i="1"/>
  <c r="D35" i="1" s="1"/>
  <c r="C23" i="1"/>
  <c r="D21" i="1"/>
  <c r="B20" i="1"/>
  <c r="D20" i="1" s="1"/>
  <c r="D23" i="1" s="1"/>
  <c r="F24" i="1" s="1"/>
  <c r="E143" i="3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F17" i="1" s="1"/>
  <c r="E60" i="3" l="1"/>
  <c r="E85" i="3"/>
  <c r="E90" i="3" s="1"/>
  <c r="E96" i="3" s="1"/>
  <c r="C56" i="1"/>
  <c r="D57" i="1" s="1"/>
  <c r="E57" i="1" s="1"/>
  <c r="E35" i="1"/>
  <c r="D36" i="1" s="1"/>
  <c r="E36" i="1" s="1"/>
  <c r="E42" i="1" s="1"/>
  <c r="D43" i="1" s="1"/>
  <c r="E43" i="1" s="1"/>
  <c r="F44" i="1" s="1"/>
  <c r="C50" i="1"/>
  <c r="E40" i="1"/>
  <c r="D41" i="1" s="1"/>
  <c r="E41" i="1" s="1"/>
  <c r="E66" i="3" l="1"/>
  <c r="E67" i="3"/>
  <c r="E65" i="3"/>
  <c r="E68" i="3" s="1"/>
  <c r="E167" i="3"/>
  <c r="C71" i="3"/>
  <c r="E148" i="3"/>
  <c r="C51" i="1"/>
  <c r="D52" i="1" s="1"/>
  <c r="E52" i="1" s="1"/>
  <c r="E58" i="1" s="1"/>
  <c r="D59" i="1" s="1"/>
  <c r="E59" i="1" s="1"/>
  <c r="F60" i="1" s="1"/>
  <c r="F96" i="1" s="1"/>
  <c r="F98" i="1" l="1"/>
  <c r="E144" i="3"/>
  <c r="E145" i="3" s="1"/>
  <c r="E152" i="3" s="1"/>
  <c r="E171" i="3" s="1"/>
  <c r="E72" i="3"/>
  <c r="E80" i="3"/>
  <c r="E102" i="3" s="1"/>
  <c r="E73" i="3"/>
  <c r="E114" i="3"/>
  <c r="E115" i="3" s="1"/>
  <c r="E120" i="3" s="1"/>
  <c r="E94" i="3"/>
  <c r="E104" i="3"/>
  <c r="E110" i="3"/>
  <c r="E103" i="3" l="1"/>
  <c r="E105" i="3" s="1"/>
  <c r="E118" i="3" s="1"/>
  <c r="E79" i="3"/>
  <c r="E81" i="3" s="1"/>
  <c r="E95" i="3" s="1"/>
  <c r="E97" i="3"/>
  <c r="E168" i="3" l="1"/>
  <c r="E149" i="3"/>
  <c r="E108" i="3"/>
  <c r="E109" i="3" l="1"/>
  <c r="E111" i="3"/>
  <c r="E119" i="3" s="1"/>
  <c r="E121" i="3" s="1"/>
  <c r="E169" i="3" l="1"/>
  <c r="E150" i="3"/>
  <c r="C125" i="3"/>
  <c r="E133" i="3" l="1"/>
  <c r="E127" i="3"/>
  <c r="E137" i="3"/>
  <c r="E131" i="3"/>
  <c r="E135" i="3"/>
  <c r="E129" i="3"/>
  <c r="E134" i="3"/>
  <c r="E128" i="3"/>
  <c r="E132" i="3"/>
  <c r="E126" i="3"/>
  <c r="E136" i="3"/>
  <c r="E130" i="3"/>
  <c r="E138" i="3" l="1"/>
  <c r="E151" i="3" s="1"/>
  <c r="E170" i="3" l="1"/>
  <c r="E153" i="3"/>
  <c r="C157" i="3" l="1"/>
  <c r="E157" i="3" s="1"/>
  <c r="C158" i="3" l="1"/>
  <c r="E158" i="3" l="1"/>
  <c r="C162" i="3"/>
  <c r="E162" i="3" s="1"/>
  <c r="C161" i="3"/>
  <c r="E161" i="3" s="1"/>
  <c r="C160" i="3" l="1"/>
  <c r="E160" i="3" s="1"/>
  <c r="E163" i="3" s="1"/>
  <c r="E164" i="3" s="1"/>
  <c r="E172" i="3" s="1"/>
  <c r="E173" i="3" s="1"/>
  <c r="D179" i="3" s="1"/>
  <c r="E182" i="3" s="1"/>
</calcChain>
</file>

<file path=xl/sharedStrings.xml><?xml version="1.0" encoding="utf-8"?>
<sst xmlns="http://schemas.openxmlformats.org/spreadsheetml/2006/main" count="342" uniqueCount="234">
  <si>
    <t>5.1 - Uniformes/EPIs</t>
  </si>
  <si>
    <t>Descrição</t>
  </si>
  <si>
    <t>Média de preço unitário</t>
  </si>
  <si>
    <t>Quantidade ano por pessoa</t>
  </si>
  <si>
    <t>Valor anual</t>
  </si>
  <si>
    <t>Valor mensal</t>
  </si>
  <si>
    <t xml:space="preserve">Roçadeira a gasolina Stil modelo FS220, 35,2cc motor 2 tempos, potência 2,3cv.  </t>
  </si>
  <si>
    <t>Fio de nylon para roçadeira 3,0mm, rolo com 312m.</t>
  </si>
  <si>
    <t>Carretel de nylon para roçadeira Stil FS220 M12x1,5</t>
  </si>
  <si>
    <t>Lamina 2 pontas para roçadeira a gasolina, 330mm, roração de 20mm.</t>
  </si>
  <si>
    <t>Cinto duplo ombro para roçadeira.</t>
  </si>
  <si>
    <t>Óculos de proteção incolor com CA.</t>
  </si>
  <si>
    <t>Par de perneira/caneleira de proteção com CA.</t>
  </si>
  <si>
    <t>Par de botas de segurança de couro com CA.</t>
  </si>
  <si>
    <t>Protetor auricular tipo plug, em silicone atóxico com CA.</t>
  </si>
  <si>
    <t>Par de luvas de proteção tricotada pigmentata com CA.</t>
  </si>
  <si>
    <t>Tela de proteção tipo mosquiteiro, mínimo 1,5x3,0m.</t>
  </si>
  <si>
    <t>Total mensal</t>
  </si>
  <si>
    <t>5.2. Combustíveis e manutenção roçadeiras</t>
  </si>
  <si>
    <t>Preço L (R$)</t>
  </si>
  <si>
    <t>Consumo h (L)</t>
  </si>
  <si>
    <t>Preço h (R$)</t>
  </si>
  <si>
    <t>Preço mês (RS)</t>
  </si>
  <si>
    <t>Gasolina</t>
  </si>
  <si>
    <t>Óleo Castrol Stil 2 tempos 870h 500mL</t>
  </si>
  <si>
    <t>Manutenção</t>
  </si>
  <si>
    <t>Total</t>
  </si>
  <si>
    <t>Obs.: Preço mês = Preço h * 8h * 21 dias úteis/mês</t>
  </si>
  <si>
    <t>5.3. Veículos</t>
  </si>
  <si>
    <t>Depreciação</t>
  </si>
  <si>
    <t>Discriminação</t>
  </si>
  <si>
    <t>Unidade</t>
  </si>
  <si>
    <t>Quantidade</t>
  </si>
  <si>
    <t>Custo unitário</t>
  </si>
  <si>
    <t>Subtotal</t>
  </si>
  <si>
    <r>
      <rPr>
        <b/>
        <sz val="11"/>
        <color theme="1"/>
        <rFont val="Arial"/>
      </rPr>
      <t>Total</t>
    </r>
    <r>
      <rPr>
        <b/>
        <u/>
        <sz val="11"/>
        <color theme="1"/>
        <rFont val="Arial"/>
      </rPr>
      <t xml:space="preserve"> (R$)</t>
    </r>
  </si>
  <si>
    <t>Custo de aquisição do chassis</t>
  </si>
  <si>
    <t>unidade</t>
  </si>
  <si>
    <t>Vida útil do chassis</t>
  </si>
  <si>
    <t>anos</t>
  </si>
  <si>
    <t>Idade do veículo</t>
  </si>
  <si>
    <t>Depreciação do chassis</t>
  </si>
  <si>
    <t>%</t>
  </si>
  <si>
    <t>Depreciação mensal veículos coletores</t>
  </si>
  <si>
    <t>mês</t>
  </si>
  <si>
    <t>Custo de aquisição da roçadeira</t>
  </si>
  <si>
    <t>Vida útil da roçadeira</t>
  </si>
  <si>
    <t>Idade da roçadeira</t>
  </si>
  <si>
    <t>Depreciação da roçadeira</t>
  </si>
  <si>
    <t>Depreciação mensal da roçadeira</t>
  </si>
  <si>
    <t>Total por veículo</t>
  </si>
  <si>
    <t>Total da frota</t>
  </si>
  <si>
    <t>Fator de utilização</t>
  </si>
  <si>
    <t>Remuneração de capital</t>
  </si>
  <si>
    <r>
      <rPr>
        <b/>
        <sz val="11"/>
        <color theme="1"/>
        <rFont val="Arial"/>
      </rPr>
      <t>Total</t>
    </r>
    <r>
      <rPr>
        <b/>
        <u/>
        <sz val="11"/>
        <color theme="1"/>
        <rFont val="Arial"/>
      </rPr>
      <t xml:space="preserve"> (R$)</t>
    </r>
  </si>
  <si>
    <t>Custo do chassis</t>
  </si>
  <si>
    <t>Taxa de juros anual nominal</t>
  </si>
  <si>
    <t>Valor do veículo proposto (V0)</t>
  </si>
  <si>
    <t>R$</t>
  </si>
  <si>
    <t>Investimento médio total do chassis</t>
  </si>
  <si>
    <t>Remuneração mensal de capital do chassis</t>
  </si>
  <si>
    <t>Custo da roçadeira</t>
  </si>
  <si>
    <t>Valor do compactador proposto (V0)</t>
  </si>
  <si>
    <t>Investimento médio total da roçadeira</t>
  </si>
  <si>
    <t>Remuneração mensal de capital da roçadeira</t>
  </si>
  <si>
    <t>Impostos e Seguros</t>
  </si>
  <si>
    <r>
      <rPr>
        <b/>
        <sz val="11"/>
        <color theme="1"/>
        <rFont val="Arial"/>
      </rPr>
      <t>Total</t>
    </r>
    <r>
      <rPr>
        <b/>
        <u/>
        <sz val="11"/>
        <color theme="1"/>
        <rFont val="Arial"/>
      </rPr>
      <t xml:space="preserve"> (R$)</t>
    </r>
  </si>
  <si>
    <t>IPVA</t>
  </si>
  <si>
    <t>Licenciamento e Seguro obrigatório</t>
  </si>
  <si>
    <t>Impostos e seguros mensais</t>
  </si>
  <si>
    <t>Consumos</t>
  </si>
  <si>
    <t>Quilometragem mensal</t>
  </si>
  <si>
    <t>Consumo</t>
  </si>
  <si>
    <r>
      <rPr>
        <b/>
        <sz val="11"/>
        <color theme="1"/>
        <rFont val="Arial"/>
      </rPr>
      <t>Total</t>
    </r>
    <r>
      <rPr>
        <b/>
        <u/>
        <sz val="11"/>
        <color theme="1"/>
        <rFont val="Arial"/>
      </rPr>
      <t xml:space="preserve"> (R$)</t>
    </r>
  </si>
  <si>
    <t>Custo de gasolina / km rodado</t>
  </si>
  <si>
    <t>km/L</t>
  </si>
  <si>
    <t>Custo mensal com gasolina</t>
  </si>
  <si>
    <t>km</t>
  </si>
  <si>
    <t>Custo de óleo do motor /10.000 km rodados</t>
  </si>
  <si>
    <t>L/10.000 km</t>
  </si>
  <si>
    <t>Custo mensal com óleo do motor</t>
  </si>
  <si>
    <t>Custo com consumos</t>
  </si>
  <si>
    <t>R$/h trabalhada</t>
  </si>
  <si>
    <r>
      <rPr>
        <b/>
        <sz val="11"/>
        <color theme="1"/>
        <rFont val="Arial"/>
      </rPr>
      <t>Total</t>
    </r>
    <r>
      <rPr>
        <b/>
        <u/>
        <sz val="11"/>
        <color theme="1"/>
        <rFont val="Arial"/>
      </rPr>
      <t xml:space="preserve"> (R$)</t>
    </r>
  </si>
  <si>
    <t>Custo de manutenção dos caminhões</t>
  </si>
  <si>
    <t>R$/km rodado</t>
  </si>
  <si>
    <t>Pneus</t>
  </si>
  <si>
    <r>
      <rPr>
        <b/>
        <sz val="11"/>
        <color theme="1"/>
        <rFont val="Arial"/>
      </rPr>
      <t>Total</t>
    </r>
    <r>
      <rPr>
        <b/>
        <u/>
        <sz val="11"/>
        <color theme="1"/>
        <rFont val="Arial"/>
      </rPr>
      <t xml:space="preserve"> (R$)</t>
    </r>
  </si>
  <si>
    <t>Custo do jogo de pneus</t>
  </si>
  <si>
    <t>Número de recapagens por pneu</t>
  </si>
  <si>
    <t>Custo de recapagem</t>
  </si>
  <si>
    <r>
      <rPr>
        <sz val="11"/>
        <color theme="1"/>
        <rFont val="Arial"/>
      </rPr>
      <t>Custo jg. compl. + 1</t>
    </r>
    <r>
      <rPr>
        <sz val="11"/>
        <color theme="1"/>
        <rFont val="Arial"/>
      </rPr>
      <t xml:space="preserve"> recap./ km rodado</t>
    </r>
  </si>
  <si>
    <t>km/jogo</t>
  </si>
  <si>
    <t>Custo mensal com pneus</t>
  </si>
  <si>
    <t>Custo mensal do veículo</t>
  </si>
  <si>
    <t>Custo total de equipamentos e veículos</t>
  </si>
  <si>
    <t>6. Depreciação Referencial TCE/RS (%)</t>
  </si>
  <si>
    <t>Idade do veículo (ano)</t>
  </si>
  <si>
    <t>Depreciação Média</t>
  </si>
  <si>
    <t xml:space="preserve"> </t>
  </si>
  <si>
    <t>PLANILHA SEMOT - CORTE DE GRAMA - 8H LC 123</t>
  </si>
  <si>
    <t>Dados da CCT</t>
  </si>
  <si>
    <t>Município/UF</t>
  </si>
  <si>
    <t>Santo Antônio da Patrulha/RS</t>
  </si>
  <si>
    <t>Serviço</t>
  </si>
  <si>
    <t>limpeza urbana</t>
  </si>
  <si>
    <t>Categoria</t>
  </si>
  <si>
    <t>Jardineiro</t>
  </si>
  <si>
    <t>CBO</t>
  </si>
  <si>
    <t>CCT nº</t>
  </si>
  <si>
    <t>RS005021/2021</t>
  </si>
  <si>
    <t>Data base</t>
  </si>
  <si>
    <t>1º de janeiro</t>
  </si>
  <si>
    <t>Salário normativo - 220 h</t>
  </si>
  <si>
    <t>Auxílio alimentação</t>
  </si>
  <si>
    <t>nº</t>
  </si>
  <si>
    <t>valor</t>
  </si>
  <si>
    <t>desconto</t>
  </si>
  <si>
    <t>Vale-transporte</t>
  </si>
  <si>
    <t>Plano de benefício social familiar</t>
  </si>
  <si>
    <t>Dados p/cálculo de Aviso-Prévio</t>
  </si>
  <si>
    <t>Dias aviso ano</t>
  </si>
  <si>
    <t>Dias proporc.</t>
  </si>
  <si>
    <t>Dias aviso</t>
  </si>
  <si>
    <t>Nº meses  no emprego</t>
  </si>
  <si>
    <t>Percentuais por tipo de desligamento</t>
  </si>
  <si>
    <t>Sem justa causa indenizado</t>
  </si>
  <si>
    <t>Sem justa causa trabalhado</t>
  </si>
  <si>
    <t>Com justa causa</t>
  </si>
  <si>
    <t>Outros tipos de desligamento</t>
  </si>
  <si>
    <t>Dados para cálculo de reposição de profissional ausente</t>
  </si>
  <si>
    <t>Incidência Anual</t>
  </si>
  <si>
    <t>Duração Legal da Ausência</t>
  </si>
  <si>
    <t>44h</t>
  </si>
  <si>
    <t>Proporção de  Dias afetados</t>
  </si>
  <si>
    <t>Dias de Reposição</t>
  </si>
  <si>
    <t>Férias</t>
  </si>
  <si>
    <t>Ausência justificada</t>
  </si>
  <si>
    <t>Acidente trabalho</t>
  </si>
  <si>
    <t>Afastamento por doença</t>
  </si>
  <si>
    <t>Consulta médica filho</t>
  </si>
  <si>
    <t>Óbitos na família</t>
  </si>
  <si>
    <t>Casamento</t>
  </si>
  <si>
    <t>Doação de sangue</t>
  </si>
  <si>
    <t>Testemunho</t>
  </si>
  <si>
    <t>Paternidade</t>
  </si>
  <si>
    <t>Maternidade</t>
  </si>
  <si>
    <t>Consulta pré-natal</t>
  </si>
  <si>
    <t>Dados do Contrato</t>
  </si>
  <si>
    <t>Início dos serviços</t>
  </si>
  <si>
    <t>Término dos serviços</t>
  </si>
  <si>
    <t>Nº de meses de execução contratual</t>
  </si>
  <si>
    <t>Média de dias úteis no ano</t>
  </si>
  <si>
    <t>Média de dias mês</t>
  </si>
  <si>
    <t>Carga horária</t>
  </si>
  <si>
    <t>Diária</t>
  </si>
  <si>
    <t>Mensal</t>
  </si>
  <si>
    <t>MÓDULO I - COMPOSIÇÃO DA REMUNERAÇÃO</t>
  </si>
  <si>
    <t>horas</t>
  </si>
  <si>
    <t xml:space="preserve">Salário-Base </t>
  </si>
  <si>
    <t>Adicional de Insalubridade</t>
  </si>
  <si>
    <t>Outros (especificar)</t>
  </si>
  <si>
    <t>Total do Módulo 1</t>
  </si>
  <si>
    <t>MÓDULO 2 - ENCARGOS E BENEFÍCIOS ANUAIS, MENSAIS E DIÁRIOS</t>
  </si>
  <si>
    <t>Submódulo 2.1 - 13º Salário e Adicional de Férias</t>
  </si>
  <si>
    <t xml:space="preserve"> 13º Salário </t>
  </si>
  <si>
    <t>Adicional de férias</t>
  </si>
  <si>
    <t>Submódulo 2.2 - Encargos Previdenciários, (FGTS) e outras contribuições</t>
  </si>
  <si>
    <t>Base de cálculo (M1+2.1)</t>
  </si>
  <si>
    <t>INSS</t>
  </si>
  <si>
    <t>SAT</t>
  </si>
  <si>
    <t>Salário Educação</t>
  </si>
  <si>
    <t>SESC ou SESI</t>
  </si>
  <si>
    <t>SENAI - SENAC</t>
  </si>
  <si>
    <t>SEBRAE</t>
  </si>
  <si>
    <t>INCRA</t>
  </si>
  <si>
    <t>Subtotal -  GPS</t>
  </si>
  <si>
    <t>FGTS</t>
  </si>
  <si>
    <t>Submódulo 2.3 - Benefícios Mensais e Diários</t>
  </si>
  <si>
    <t>Transporte</t>
  </si>
  <si>
    <t>Auxílio-Refeição/Alimentação</t>
  </si>
  <si>
    <t>Plano de Benefício Social Familiar</t>
  </si>
  <si>
    <t>Seguro</t>
  </si>
  <si>
    <t>Resumo do Módulo 2 - Encargos e Benefícios anuais, mensais e diários</t>
  </si>
  <si>
    <t>Submódulo 2.2 - Encargos Previdenciários e FGTS</t>
  </si>
  <si>
    <t>Total do Módulo 2</t>
  </si>
  <si>
    <t>MÓDULO 3 - PROVISÃO PARA RESCISÃO</t>
  </si>
  <si>
    <t>Submódulo 3.1. Aviso Prévio Indenizado</t>
  </si>
  <si>
    <t>Aviso Prévio Indenizado</t>
  </si>
  <si>
    <t>Incidência do FGTS sobre o Aviso Prévio Indenizado</t>
  </si>
  <si>
    <t>Multa do FGTS e contribuição social sobre o Aviso Prévio Indenizado</t>
  </si>
  <si>
    <t>Subtotal do Submódulo 3.1</t>
  </si>
  <si>
    <t>Submódulo 3.2. Aviso Prévio Trabalhado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</si>
  <si>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</si>
  <si>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</si>
  <si>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</si>
  <si>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Subtotal do Submódulo 3.2</t>
  </si>
  <si>
    <t>Submódulo 3.3. - Demissão por Justa Causa</t>
  </si>
  <si>
    <t>Desconto do Submódulo 2.1</t>
  </si>
  <si>
    <t>Subtotal do Submódulo 3.3.</t>
  </si>
  <si>
    <t>Resumo do Módulo 3 - Provisão para rescisão</t>
  </si>
  <si>
    <t>Total do Módulo 3</t>
  </si>
  <si>
    <t>MÓDULO 4 - CUSTO DE REPOSIÇÃO DO PROFISSIONAL AUSENTE</t>
  </si>
  <si>
    <t>Submódulo 4.1 - Ausências Legais</t>
  </si>
  <si>
    <t>Custo diário</t>
  </si>
  <si>
    <t>Dias reposição</t>
  </si>
  <si>
    <t>MÓDULO 5 - INSUMOS DIVERSOS</t>
  </si>
  <si>
    <t xml:space="preserve">Total </t>
  </si>
  <si>
    <t>TOTAL DOS MÓDULOS 1 a 5</t>
  </si>
  <si>
    <t>Módulo 1 - Composição da Remuneração</t>
  </si>
  <si>
    <t>Módulo 2 - Encargos e Benefícios Anuais, Mensais e Diários</t>
  </si>
  <si>
    <t>Módulo 3 - Provisão para Rescisão</t>
  </si>
  <si>
    <t>Módulo 4 - Reposição do Profissional Ausente</t>
  </si>
  <si>
    <t>Módulo 5 - Insumos Diversos</t>
  </si>
  <si>
    <t>MÓDULO 6 - BDI - CUSTOS INDIRETOS, LUCRO E TRIBUTOS</t>
  </si>
  <si>
    <t>Base cálculo</t>
  </si>
  <si>
    <t>Percentual</t>
  </si>
  <si>
    <t>Custos indiretos</t>
  </si>
  <si>
    <t>Lucro</t>
  </si>
  <si>
    <t>Tributos</t>
  </si>
  <si>
    <t>PIS</t>
  </si>
  <si>
    <t>COFINS</t>
  </si>
  <si>
    <t>ISS</t>
  </si>
  <si>
    <t>Total de tributos</t>
  </si>
  <si>
    <t>Total do Módulo 6</t>
  </si>
  <si>
    <t>TOTAL DOS MÓDULOS 1 A 6</t>
  </si>
  <si>
    <t xml:space="preserve">Módulo 6 - BDI </t>
  </si>
  <si>
    <t>Total /mês</t>
  </si>
  <si>
    <t>CUSTO  ESTIMADO DA CONTRATAÇÃO</t>
  </si>
  <si>
    <t>Custo mês</t>
  </si>
  <si>
    <t>Produtividade diária (m²)</t>
  </si>
  <si>
    <t>Produtividade mensal (m²)</t>
  </si>
  <si>
    <t>Valor unitário (R$/m²)</t>
  </si>
  <si>
    <t>PLANILHA DE CUSTOS - CORTE DE GRAMA - LC 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</si>
</sst>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(* #,##0.000_);_(* \(#,##0.000\);_(* &quot;-&quot;??_);_(@_)"/>
    <numFmt numFmtId="166" formatCode="_(* #,##0_);_(* \(#,##0\);_(* &quot;-&quot;??_);_(@_)"/>
    <numFmt numFmtId="167" formatCode="0.0000"/>
    <numFmt numFmtId="168" formatCode="_-* #,##0.00_-;\-* #,##0.00_-;_-* &quot;-&quot;??_-;_-@"/>
    <numFmt numFmtId="169" formatCode="#,##0.00_ ;\-#,##0.00\ "/>
    <numFmt numFmtId="170" formatCode="_-* #,##0.0000_-;\-* #,##0.0000_-;_-* &quot;-&quot;??_-;_-@"/>
    <numFmt numFmtId="171" formatCode="&quot;R$&quot;\ #,##0.00"/>
    <numFmt numFmtId="172" formatCode="0.00000"/>
  </numFmts>
  <fonts count="17" x14ac:knownFonts="1">
    <font>
      <sz val="11"/>
      <color theme="1"/>
      <name val="Arial"/>
      <scheme val="minor"/>
    </font>
    <font>
      <sz val="11"/>
      <color theme="1"/>
      <name val="Calibri"/>
    </font>
    <font>
      <b/>
      <sz val="11"/>
      <color theme="1"/>
      <name val="Arial"/>
    </font>
    <font>
      <sz val="11"/>
      <name val="Arial"/>
    </font>
    <font>
      <b/>
      <sz val="11"/>
      <color theme="1"/>
      <name val="Calibri"/>
    </font>
    <font>
      <sz val="11"/>
      <color rgb="FF000000"/>
      <name val="Arial"/>
    </font>
    <font>
      <sz val="11"/>
      <color theme="1"/>
      <name val="Arial"/>
    </font>
    <font>
      <b/>
      <sz val="12"/>
      <color theme="1"/>
      <name val="Arial"/>
    </font>
    <font>
      <b/>
      <sz val="10"/>
      <color rgb="FF000000"/>
      <name val="Calibri"/>
    </font>
    <font>
      <sz val="10"/>
      <color theme="1"/>
      <name val="Calibri"/>
    </font>
    <font>
      <sz val="10"/>
      <color rgb="FF000000"/>
      <name val="Calibri"/>
    </font>
    <font>
      <b/>
      <sz val="10"/>
      <color theme="1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b/>
      <u/>
      <sz val="11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C6D9F0"/>
        <bgColor rgb="FFC6D9F0"/>
      </patternFill>
    </fill>
    <fill>
      <patternFill patternType="solid">
        <fgColor rgb="FFDDD9C3"/>
        <bgColor rgb="FFDDD9C3"/>
      </patternFill>
    </fill>
    <fill>
      <patternFill patternType="solid">
        <fgColor rgb="FFEEECE1"/>
        <bgColor rgb="FFEEECE1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45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right"/>
    </xf>
    <xf numFmtId="2" fontId="1" fillId="0" borderId="4" xfId="0" applyNumberFormat="1" applyFont="1" applyBorder="1"/>
    <xf numFmtId="164" fontId="1" fillId="0" borderId="0" xfId="0" applyNumberFormat="1" applyFont="1"/>
    <xf numFmtId="0" fontId="5" fillId="0" borderId="4" xfId="0" applyFont="1" applyBorder="1" applyAlignment="1"/>
    <xf numFmtId="164" fontId="1" fillId="0" borderId="4" xfId="0" applyNumberFormat="1" applyFont="1" applyBorder="1"/>
    <xf numFmtId="0" fontId="2" fillId="2" borderId="4" xfId="0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right"/>
    </xf>
    <xf numFmtId="164" fontId="6" fillId="0" borderId="4" xfId="0" applyNumberFormat="1" applyFont="1" applyBorder="1" applyAlignment="1"/>
    <xf numFmtId="164" fontId="6" fillId="0" borderId="4" xfId="0" applyNumberFormat="1" applyFont="1" applyBorder="1" applyAlignment="1">
      <alignment horizontal="right"/>
    </xf>
    <xf numFmtId="0" fontId="6" fillId="3" borderId="4" xfId="0" applyFont="1" applyFill="1" applyBorder="1" applyAlignment="1">
      <alignment horizontal="center"/>
    </xf>
    <xf numFmtId="0" fontId="1" fillId="0" borderId="4" xfId="0" applyFont="1" applyBorder="1" applyAlignment="1"/>
    <xf numFmtId="0" fontId="1" fillId="0" borderId="0" xfId="0" applyFont="1" applyAlignment="1"/>
    <xf numFmtId="3" fontId="1" fillId="0" borderId="0" xfId="0" applyNumberFormat="1" applyFont="1"/>
    <xf numFmtId="3" fontId="1" fillId="0" borderId="4" xfId="0" applyNumberFormat="1" applyFont="1" applyBorder="1"/>
    <xf numFmtId="0" fontId="2" fillId="0" borderId="4" xfId="0" applyFont="1" applyBorder="1" applyAlignment="1"/>
    <xf numFmtId="3" fontId="6" fillId="3" borderId="4" xfId="0" applyNumberFormat="1" applyFont="1" applyFill="1" applyBorder="1" applyAlignment="1">
      <alignment horizontal="right"/>
    </xf>
    <xf numFmtId="0" fontId="6" fillId="0" borderId="4" xfId="0" applyFont="1" applyBorder="1" applyAlignment="1"/>
    <xf numFmtId="0" fontId="6" fillId="0" borderId="4" xfId="0" applyFont="1" applyBorder="1" applyAlignment="1">
      <alignment horizontal="center"/>
    </xf>
    <xf numFmtId="4" fontId="6" fillId="3" borderId="4" xfId="0" applyNumberFormat="1" applyFont="1" applyFill="1" applyBorder="1" applyAlignment="1">
      <alignment horizontal="center"/>
    </xf>
    <xf numFmtId="165" fontId="6" fillId="3" borderId="4" xfId="0" applyNumberFormat="1" applyFont="1" applyFill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6" fontId="1" fillId="0" borderId="4" xfId="0" applyNumberFormat="1" applyFont="1" applyBorder="1"/>
    <xf numFmtId="165" fontId="2" fillId="0" borderId="4" xfId="0" applyNumberFormat="1" applyFont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6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10" fontId="9" fillId="0" borderId="4" xfId="0" applyNumberFormat="1" applyFont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9" fontId="9" fillId="0" borderId="4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 vertical="top" wrapText="1"/>
    </xf>
    <xf numFmtId="0" fontId="9" fillId="0" borderId="4" xfId="0" applyFont="1" applyBorder="1"/>
    <xf numFmtId="0" fontId="10" fillId="0" borderId="4" xfId="0" applyFont="1" applyBorder="1" applyAlignment="1">
      <alignment horizontal="center"/>
    </xf>
    <xf numFmtId="0" fontId="10" fillId="0" borderId="3" xfId="0" applyFont="1" applyBorder="1"/>
    <xf numFmtId="0" fontId="10" fillId="0" borderId="4" xfId="0" applyFont="1" applyBorder="1"/>
    <xf numFmtId="10" fontId="10" fillId="3" borderId="4" xfId="0" applyNumberFormat="1" applyFont="1" applyFill="1" applyBorder="1"/>
    <xf numFmtId="10" fontId="10" fillId="0" borderId="4" xfId="0" applyNumberFormat="1" applyFont="1" applyBorder="1"/>
    <xf numFmtId="0" fontId="10" fillId="0" borderId="7" xfId="0" applyFont="1" applyBorder="1"/>
    <xf numFmtId="0" fontId="10" fillId="0" borderId="10" xfId="0" applyFont="1" applyBorder="1"/>
    <xf numFmtId="10" fontId="10" fillId="0" borderId="10" xfId="0" applyNumberFormat="1" applyFont="1" applyBorder="1"/>
    <xf numFmtId="0" fontId="8" fillId="0" borderId="17" xfId="0" applyFont="1" applyBorder="1" applyAlignment="1">
      <alignment horizontal="center" wrapText="1"/>
    </xf>
    <xf numFmtId="0" fontId="9" fillId="0" borderId="16" xfId="0" applyFont="1" applyBorder="1" applyAlignment="1">
      <alignment horizontal="left" wrapText="1"/>
    </xf>
    <xf numFmtId="0" fontId="9" fillId="0" borderId="17" xfId="0" applyFont="1" applyBorder="1" applyAlignment="1">
      <alignment horizontal="center" wrapText="1"/>
    </xf>
    <xf numFmtId="10" fontId="9" fillId="3" borderId="17" xfId="0" applyNumberFormat="1" applyFont="1" applyFill="1" applyBorder="1" applyAlignment="1">
      <alignment horizontal="center" wrapText="1"/>
    </xf>
    <xf numFmtId="0" fontId="9" fillId="0" borderId="17" xfId="0" applyFont="1" applyBorder="1" applyAlignment="1">
      <alignment wrapText="1"/>
    </xf>
    <xf numFmtId="0" fontId="9" fillId="0" borderId="16" xfId="0" applyFont="1" applyBorder="1" applyAlignment="1">
      <alignment wrapText="1"/>
    </xf>
    <xf numFmtId="167" fontId="9" fillId="0" borderId="17" xfId="0" applyNumberFormat="1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horizontal="center" wrapText="1"/>
    </xf>
    <xf numFmtId="10" fontId="9" fillId="3" borderId="19" xfId="0" applyNumberFormat="1" applyFont="1" applyFill="1" applyBorder="1" applyAlignment="1">
      <alignment horizontal="center" wrapText="1"/>
    </xf>
    <xf numFmtId="167" fontId="9" fillId="0" borderId="19" xfId="0" applyNumberFormat="1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horizontal="center" wrapText="1"/>
    </xf>
    <xf numFmtId="10" fontId="9" fillId="3" borderId="4" xfId="0" applyNumberFormat="1" applyFont="1" applyFill="1" applyBorder="1" applyAlignment="1">
      <alignment horizontal="center" wrapText="1"/>
    </xf>
    <xf numFmtId="167" fontId="9" fillId="0" borderId="4" xfId="0" applyNumberFormat="1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8" fillId="0" borderId="4" xfId="0" applyFont="1" applyBorder="1"/>
    <xf numFmtId="0" fontId="10" fillId="0" borderId="0" xfId="0" applyFont="1" applyAlignment="1">
      <alignment horizontal="left"/>
    </xf>
    <xf numFmtId="0" fontId="10" fillId="0" borderId="4" xfId="0" applyFont="1" applyBorder="1" applyAlignment="1">
      <alignment horizontal="left"/>
    </xf>
    <xf numFmtId="14" fontId="10" fillId="0" borderId="4" xfId="0" applyNumberFormat="1" applyFont="1" applyBorder="1" applyAlignment="1">
      <alignment horizontal="center"/>
    </xf>
    <xf numFmtId="14" fontId="10" fillId="0" borderId="4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right"/>
    </xf>
    <xf numFmtId="0" fontId="9" fillId="0" borderId="0" xfId="0" applyFont="1"/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" fontId="8" fillId="0" borderId="0" xfId="0" applyNumberFormat="1" applyFont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" fillId="0" borderId="20" xfId="0" applyFont="1" applyBorder="1"/>
    <xf numFmtId="0" fontId="1" fillId="0" borderId="2" xfId="0" applyFont="1" applyBorder="1"/>
    <xf numFmtId="1" fontId="1" fillId="7" borderId="4" xfId="0" applyNumberFormat="1" applyFont="1" applyFill="1" applyBorder="1"/>
    <xf numFmtId="0" fontId="13" fillId="0" borderId="4" xfId="0" applyFont="1" applyBorder="1"/>
    <xf numFmtId="168" fontId="13" fillId="0" borderId="4" xfId="0" applyNumberFormat="1" applyFont="1" applyBorder="1"/>
    <xf numFmtId="9" fontId="13" fillId="7" borderId="4" xfId="0" applyNumberFormat="1" applyFont="1" applyFill="1" applyBorder="1"/>
    <xf numFmtId="0" fontId="12" fillId="0" borderId="1" xfId="0" applyFont="1" applyBorder="1" applyAlignment="1">
      <alignment horizontal="right"/>
    </xf>
    <xf numFmtId="168" fontId="12" fillId="0" borderId="4" xfId="0" applyNumberFormat="1" applyFont="1" applyBorder="1"/>
    <xf numFmtId="1" fontId="1" fillId="0" borderId="0" xfId="0" applyNumberFormat="1" applyFont="1"/>
    <xf numFmtId="10" fontId="1" fillId="0" borderId="0" xfId="0" applyNumberFormat="1" applyFont="1"/>
    <xf numFmtId="167" fontId="1" fillId="0" borderId="0" xfId="0" applyNumberFormat="1" applyFont="1"/>
    <xf numFmtId="10" fontId="13" fillId="7" borderId="4" xfId="0" applyNumberFormat="1" applyFont="1" applyFill="1" applyBorder="1"/>
    <xf numFmtId="0" fontId="13" fillId="0" borderId="0" xfId="0" applyFont="1"/>
    <xf numFmtId="168" fontId="13" fillId="7" borderId="4" xfId="0" applyNumberFormat="1" applyFont="1" applyFill="1" applyBorder="1"/>
    <xf numFmtId="169" fontId="13" fillId="0" borderId="4" xfId="0" applyNumberFormat="1" applyFont="1" applyBorder="1"/>
    <xf numFmtId="10" fontId="13" fillId="3" borderId="4" xfId="0" applyNumberFormat="1" applyFont="1" applyFill="1" applyBorder="1"/>
    <xf numFmtId="10" fontId="1" fillId="3" borderId="4" xfId="0" applyNumberFormat="1" applyFont="1" applyFill="1" applyBorder="1"/>
    <xf numFmtId="10" fontId="12" fillId="0" borderId="4" xfId="0" applyNumberFormat="1" applyFont="1" applyBorder="1"/>
    <xf numFmtId="169" fontId="12" fillId="0" borderId="4" xfId="0" applyNumberFormat="1" applyFont="1" applyBorder="1"/>
    <xf numFmtId="10" fontId="1" fillId="7" borderId="4" xfId="0" applyNumberFormat="1" applyFont="1" applyFill="1" applyBorder="1"/>
    <xf numFmtId="169" fontId="13" fillId="7" borderId="4" xfId="0" applyNumberFormat="1" applyFont="1" applyFill="1" applyBorder="1" applyAlignment="1">
      <alignment horizontal="right"/>
    </xf>
    <xf numFmtId="169" fontId="13" fillId="0" borderId="4" xfId="0" applyNumberFormat="1" applyFont="1" applyBorder="1" applyAlignment="1">
      <alignment horizontal="right"/>
    </xf>
    <xf numFmtId="169" fontId="12" fillId="0" borderId="4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169" fontId="12" fillId="0" borderId="0" xfId="0" applyNumberFormat="1" applyFont="1" applyAlignment="1">
      <alignment horizontal="right"/>
    </xf>
    <xf numFmtId="4" fontId="1" fillId="7" borderId="4" xfId="0" applyNumberFormat="1" applyFont="1" applyFill="1" applyBorder="1"/>
    <xf numFmtId="4" fontId="12" fillId="0" borderId="4" xfId="0" applyNumberFormat="1" applyFont="1" applyBorder="1"/>
    <xf numFmtId="0" fontId="12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7" borderId="4" xfId="0" applyFont="1" applyFill="1" applyBorder="1"/>
    <xf numFmtId="168" fontId="1" fillId="7" borderId="4" xfId="0" applyNumberFormat="1" applyFont="1" applyFill="1" applyBorder="1"/>
    <xf numFmtId="9" fontId="1" fillId="7" borderId="4" xfId="0" applyNumberFormat="1" applyFont="1" applyFill="1" applyBorder="1" applyAlignment="1">
      <alignment horizontal="center"/>
    </xf>
    <xf numFmtId="2" fontId="1" fillId="7" borderId="4" xfId="0" applyNumberFormat="1" applyFont="1" applyFill="1" applyBorder="1"/>
    <xf numFmtId="9" fontId="1" fillId="0" borderId="4" xfId="0" applyNumberFormat="1" applyFont="1" applyBorder="1" applyAlignment="1">
      <alignment horizontal="center"/>
    </xf>
    <xf numFmtId="2" fontId="4" fillId="0" borderId="4" xfId="0" applyNumberFormat="1" applyFont="1" applyBorder="1"/>
    <xf numFmtId="0" fontId="12" fillId="0" borderId="0" xfId="0" applyFont="1" applyAlignment="1">
      <alignment horizontal="right" wrapText="1"/>
    </xf>
    <xf numFmtId="9" fontId="13" fillId="0" borderId="0" xfId="0" applyNumberFormat="1" applyFont="1" applyAlignment="1">
      <alignment horizontal="center"/>
    </xf>
    <xf numFmtId="2" fontId="12" fillId="0" borderId="0" xfId="0" applyNumberFormat="1" applyFont="1"/>
    <xf numFmtId="2" fontId="14" fillId="7" borderId="4" xfId="0" applyNumberFormat="1" applyFont="1" applyFill="1" applyBorder="1"/>
    <xf numFmtId="0" fontId="12" fillId="0" borderId="1" xfId="0" applyFont="1" applyBorder="1" applyAlignment="1">
      <alignment horizontal="right" wrapText="1"/>
    </xf>
    <xf numFmtId="0" fontId="12" fillId="0" borderId="4" xfId="0" applyFont="1" applyBorder="1"/>
    <xf numFmtId="2" fontId="15" fillId="7" borderId="4" xfId="0" applyNumberFormat="1" applyFont="1" applyFill="1" applyBorder="1"/>
    <xf numFmtId="0" fontId="12" fillId="0" borderId="2" xfId="0" applyFont="1" applyBorder="1" applyAlignment="1">
      <alignment horizontal="right" wrapText="1"/>
    </xf>
    <xf numFmtId="0" fontId="12" fillId="0" borderId="3" xfId="0" applyFont="1" applyBorder="1" applyAlignment="1">
      <alignment horizontal="right" wrapText="1"/>
    </xf>
    <xf numFmtId="2" fontId="15" fillId="0" borderId="4" xfId="0" applyNumberFormat="1" applyFont="1" applyBorder="1"/>
    <xf numFmtId="2" fontId="4" fillId="7" borderId="4" xfId="0" applyNumberFormat="1" applyFont="1" applyFill="1" applyBorder="1"/>
    <xf numFmtId="2" fontId="12" fillId="7" borderId="4" xfId="0" applyNumberFormat="1" applyFont="1" applyFill="1" applyBorder="1"/>
    <xf numFmtId="2" fontId="12" fillId="0" borderId="4" xfId="0" applyNumberFormat="1" applyFont="1" applyBorder="1"/>
    <xf numFmtId="0" fontId="12" fillId="0" borderId="4" xfId="0" applyFont="1" applyBorder="1" applyAlignment="1">
      <alignment horizontal="center" wrapText="1"/>
    </xf>
    <xf numFmtId="170" fontId="1" fillId="3" borderId="4" xfId="0" applyNumberFormat="1" applyFont="1" applyFill="1" applyBorder="1"/>
    <xf numFmtId="4" fontId="13" fillId="0" borderId="4" xfId="0" applyNumberFormat="1" applyFont="1" applyBorder="1"/>
    <xf numFmtId="170" fontId="12" fillId="0" borderId="4" xfId="0" applyNumberFormat="1" applyFont="1" applyBorder="1"/>
    <xf numFmtId="0" fontId="12" fillId="0" borderId="2" xfId="0" applyFont="1" applyBorder="1" applyAlignment="1">
      <alignment horizontal="right"/>
    </xf>
    <xf numFmtId="170" fontId="12" fillId="0" borderId="2" xfId="0" applyNumberFormat="1" applyFont="1" applyBorder="1"/>
    <xf numFmtId="4" fontId="12" fillId="0" borderId="3" xfId="0" applyNumberFormat="1" applyFont="1" applyBorder="1"/>
    <xf numFmtId="4" fontId="13" fillId="7" borderId="4" xfId="0" applyNumberFormat="1" applyFont="1" applyFill="1" applyBorder="1"/>
    <xf numFmtId="4" fontId="12" fillId="0" borderId="0" xfId="0" applyNumberFormat="1" applyFont="1"/>
    <xf numFmtId="4" fontId="12" fillId="7" borderId="4" xfId="0" applyNumberFormat="1" applyFont="1" applyFill="1" applyBorder="1"/>
    <xf numFmtId="10" fontId="13" fillId="0" borderId="4" xfId="0" applyNumberFormat="1" applyFont="1" applyBorder="1"/>
    <xf numFmtId="168" fontId="1" fillId="0" borderId="0" xfId="0" applyNumberFormat="1" applyFont="1"/>
    <xf numFmtId="2" fontId="13" fillId="7" borderId="4" xfId="0" applyNumberFormat="1" applyFont="1" applyFill="1" applyBorder="1"/>
    <xf numFmtId="10" fontId="12" fillId="7" borderId="4" xfId="0" applyNumberFormat="1" applyFont="1" applyFill="1" applyBorder="1"/>
    <xf numFmtId="10" fontId="12" fillId="7" borderId="21" xfId="0" applyNumberFormat="1" applyFont="1" applyFill="1" applyBorder="1"/>
    <xf numFmtId="169" fontId="12" fillId="7" borderId="4" xfId="0" applyNumberFormat="1" applyFont="1" applyFill="1" applyBorder="1"/>
    <xf numFmtId="169" fontId="1" fillId="7" borderId="22" xfId="0" applyNumberFormat="1" applyFont="1" applyFill="1" applyBorder="1"/>
    <xf numFmtId="0" fontId="12" fillId="0" borderId="4" xfId="0" applyFont="1" applyBorder="1" applyAlignment="1">
      <alignment horizontal="center" vertical="center"/>
    </xf>
    <xf numFmtId="168" fontId="1" fillId="3" borderId="23" xfId="0" applyNumberFormat="1" applyFont="1" applyFill="1" applyBorder="1"/>
    <xf numFmtId="171" fontId="1" fillId="7" borderId="4" xfId="0" applyNumberFormat="1" applyFont="1" applyFill="1" applyBorder="1"/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172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right"/>
    </xf>
    <xf numFmtId="4" fontId="13" fillId="0" borderId="0" xfId="0" applyNumberFormat="1" applyFont="1"/>
    <xf numFmtId="2" fontId="13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/>
    <xf numFmtId="4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72" fontId="14" fillId="0" borderId="0" xfId="0" applyNumberFormat="1" applyFont="1" applyAlignment="1">
      <alignment horizontal="center"/>
    </xf>
    <xf numFmtId="4" fontId="14" fillId="0" borderId="0" xfId="0" applyNumberFormat="1" applyFont="1"/>
    <xf numFmtId="2" fontId="14" fillId="0" borderId="0" xfId="0" applyNumberFormat="1" applyFont="1" applyAlignment="1">
      <alignment horizontal="right"/>
    </xf>
    <xf numFmtId="4" fontId="1" fillId="0" borderId="0" xfId="0" applyNumberFormat="1" applyFont="1"/>
    <xf numFmtId="0" fontId="4" fillId="0" borderId="1" xfId="0" applyFont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0" fontId="2" fillId="2" borderId="1" xfId="0" applyFont="1" applyFill="1" applyBorder="1" applyAlignment="1">
      <alignment horizontal="left"/>
    </xf>
    <xf numFmtId="0" fontId="4" fillId="0" borderId="5" xfId="0" applyFont="1" applyBorder="1" applyAlignment="1">
      <alignment horizontal="center" wrapText="1"/>
    </xf>
    <xf numFmtId="0" fontId="3" fillId="0" borderId="6" xfId="0" applyFont="1" applyBorder="1"/>
    <xf numFmtId="0" fontId="4" fillId="0" borderId="5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/>
    <xf numFmtId="0" fontId="7" fillId="5" borderId="0" xfId="0" applyFont="1" applyFill="1" applyAlignment="1">
      <alignment horizontal="center"/>
    </xf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12" fillId="0" borderId="1" xfId="0" applyFont="1" applyBorder="1"/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right" wrapText="1"/>
    </xf>
    <xf numFmtId="0" fontId="12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left"/>
    </xf>
    <xf numFmtId="0" fontId="3" fillId="0" borderId="10" xfId="0" applyFont="1" applyBorder="1"/>
    <xf numFmtId="0" fontId="3" fillId="0" borderId="8" xfId="0" applyFont="1" applyBorder="1"/>
    <xf numFmtId="0" fontId="12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2" fillId="0" borderId="20" xfId="0" applyFont="1" applyBorder="1" applyAlignment="1">
      <alignment horizontal="center"/>
    </xf>
    <xf numFmtId="0" fontId="1" fillId="0" borderId="20" xfId="0" applyFont="1" applyBorder="1"/>
    <xf numFmtId="0" fontId="8" fillId="0" borderId="9" xfId="0" applyFont="1" applyBorder="1" applyAlignment="1">
      <alignment horizontal="left" vertical="top" wrapText="1"/>
    </xf>
    <xf numFmtId="0" fontId="3" fillId="0" borderId="9" xfId="0" applyFont="1" applyBorder="1"/>
    <xf numFmtId="0" fontId="8" fillId="0" borderId="1" xfId="0" applyFont="1" applyBorder="1" applyAlignment="1">
      <alignment horizontal="left"/>
    </xf>
    <xf numFmtId="0" fontId="8" fillId="0" borderId="11" xfId="0" applyFont="1" applyBorder="1" applyAlignment="1">
      <alignment horizontal="left" wrapText="1"/>
    </xf>
    <xf numFmtId="0" fontId="3" fillId="0" borderId="12" xfId="0" applyFont="1" applyBorder="1"/>
    <xf numFmtId="0" fontId="8" fillId="0" borderId="13" xfId="0" applyFont="1" applyBorder="1" applyAlignment="1">
      <alignment horizontal="center" wrapText="1"/>
    </xf>
    <xf numFmtId="0" fontId="3" fillId="0" borderId="16" xfId="0" applyFont="1" applyBorder="1"/>
    <xf numFmtId="0" fontId="8" fillId="0" borderId="14" xfId="0" applyFont="1" applyBorder="1" applyAlignment="1">
      <alignment horizontal="center" wrapText="1"/>
    </xf>
    <xf numFmtId="0" fontId="3" fillId="0" borderId="15" xfId="0" applyFont="1" applyBorder="1"/>
    <xf numFmtId="4" fontId="9" fillId="3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4"/>
  <sheetViews>
    <sheetView topLeftCell="A88" workbookViewId="0"/>
  </sheetViews>
  <sheetFormatPr defaultColWidth="12.625" defaultRowHeight="15" customHeight="1" x14ac:dyDescent="0.2"/>
  <cols>
    <col min="1" max="1" width="40.75" customWidth="1"/>
    <col min="2" max="2" width="13.875" customWidth="1"/>
    <col min="3" max="3" width="11.75" customWidth="1"/>
    <col min="4" max="4" width="16.625" customWidth="1"/>
    <col min="5" max="5" width="9.875" customWidth="1"/>
    <col min="6" max="6" width="12.75" customWidth="1"/>
    <col min="7" max="20" width="7.625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</row>
    <row r="2" spans="1:26" x14ac:dyDescent="0.25">
      <c r="A2" s="194" t="s">
        <v>0</v>
      </c>
      <c r="B2" s="192"/>
      <c r="C2" s="192"/>
      <c r="D2" s="192"/>
      <c r="E2" s="19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  <c r="W2" s="2"/>
      <c r="X2" s="2"/>
      <c r="Y2" s="2"/>
      <c r="Z2" s="2"/>
    </row>
    <row r="3" spans="1:26" x14ac:dyDescent="0.25">
      <c r="A3" s="3"/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  <c r="V3" s="2"/>
      <c r="W3" s="2"/>
      <c r="X3" s="2"/>
      <c r="Y3" s="2"/>
      <c r="Z3" s="2"/>
    </row>
    <row r="4" spans="1:26" ht="24" customHeight="1" x14ac:dyDescent="0.25">
      <c r="A4" s="197" t="s">
        <v>1</v>
      </c>
      <c r="B4" s="195" t="s">
        <v>2</v>
      </c>
      <c r="C4" s="195" t="s">
        <v>3</v>
      </c>
      <c r="D4" s="195" t="s">
        <v>4</v>
      </c>
      <c r="E4" s="195" t="s">
        <v>5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  <c r="V4" s="2"/>
      <c r="W4" s="2"/>
      <c r="X4" s="2"/>
      <c r="Y4" s="2"/>
      <c r="Z4" s="2"/>
    </row>
    <row r="5" spans="1:26" ht="40.5" customHeight="1" x14ac:dyDescent="0.25">
      <c r="A5" s="196"/>
      <c r="B5" s="196"/>
      <c r="C5" s="196"/>
      <c r="D5" s="196"/>
      <c r="E5" s="19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  <c r="V5" s="2"/>
      <c r="W5" s="2"/>
      <c r="X5" s="2"/>
      <c r="Y5" s="2"/>
      <c r="Z5" s="2"/>
    </row>
    <row r="6" spans="1:26" ht="72.75" customHeight="1" x14ac:dyDescent="0.25">
      <c r="A6" s="4" t="s">
        <v>6</v>
      </c>
      <c r="B6" s="5">
        <v>3300</v>
      </c>
      <c r="C6" s="6">
        <v>0.5</v>
      </c>
      <c r="D6" s="7">
        <f t="shared" ref="D6:D16" si="0">B6*C6</f>
        <v>1650</v>
      </c>
      <c r="E6" s="5">
        <f t="shared" ref="E6:E16" si="1">D6/12</f>
        <v>137.5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  <c r="W6" s="2"/>
      <c r="X6" s="2"/>
      <c r="Y6" s="2"/>
      <c r="Z6" s="2"/>
    </row>
    <row r="7" spans="1:26" ht="64.5" customHeight="1" x14ac:dyDescent="0.25">
      <c r="A7" s="4" t="s">
        <v>7</v>
      </c>
      <c r="B7" s="5">
        <v>230</v>
      </c>
      <c r="C7" s="6">
        <v>2</v>
      </c>
      <c r="D7" s="7">
        <f t="shared" si="0"/>
        <v>460</v>
      </c>
      <c r="E7" s="5">
        <f t="shared" si="1"/>
        <v>38.333333333333336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  <c r="W7" s="2"/>
      <c r="X7" s="2"/>
      <c r="Y7" s="2"/>
      <c r="Z7" s="2"/>
    </row>
    <row r="8" spans="1:26" ht="52.5" customHeight="1" x14ac:dyDescent="0.25">
      <c r="A8" s="4" t="s">
        <v>8</v>
      </c>
      <c r="B8" s="5">
        <v>50</v>
      </c>
      <c r="C8" s="6">
        <v>2</v>
      </c>
      <c r="D8" s="7">
        <f t="shared" si="0"/>
        <v>100</v>
      </c>
      <c r="E8" s="5">
        <f t="shared" si="1"/>
        <v>8.3333333333333339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  <c r="V8" s="2"/>
      <c r="W8" s="2"/>
      <c r="X8" s="2"/>
      <c r="Y8" s="2"/>
      <c r="Z8" s="2"/>
    </row>
    <row r="9" spans="1:26" ht="52.5" customHeight="1" x14ac:dyDescent="0.25">
      <c r="A9" s="4" t="s">
        <v>9</v>
      </c>
      <c r="B9" s="5">
        <v>50</v>
      </c>
      <c r="C9" s="6">
        <v>2</v>
      </c>
      <c r="D9" s="7">
        <f t="shared" si="0"/>
        <v>100</v>
      </c>
      <c r="E9" s="5">
        <f t="shared" si="1"/>
        <v>8.3333333333333339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"/>
      <c r="V9" s="2"/>
      <c r="W9" s="2"/>
      <c r="X9" s="2"/>
      <c r="Y9" s="2"/>
      <c r="Z9" s="2"/>
    </row>
    <row r="10" spans="1:26" ht="52.5" customHeight="1" x14ac:dyDescent="0.25">
      <c r="A10" s="4" t="s">
        <v>10</v>
      </c>
      <c r="B10" s="5">
        <v>100</v>
      </c>
      <c r="C10" s="6">
        <v>1</v>
      </c>
      <c r="D10" s="7">
        <f t="shared" si="0"/>
        <v>100</v>
      </c>
      <c r="E10" s="5">
        <f t="shared" si="1"/>
        <v>8.3333333333333339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"/>
      <c r="V10" s="2"/>
      <c r="W10" s="2"/>
      <c r="X10" s="2"/>
      <c r="Y10" s="2"/>
      <c r="Z10" s="2"/>
    </row>
    <row r="11" spans="1:26" ht="43.5" customHeight="1" x14ac:dyDescent="0.25">
      <c r="A11" s="4" t="s">
        <v>11</v>
      </c>
      <c r="B11" s="5">
        <v>20</v>
      </c>
      <c r="C11" s="6">
        <v>2</v>
      </c>
      <c r="D11" s="7">
        <f t="shared" si="0"/>
        <v>40</v>
      </c>
      <c r="E11" s="5">
        <f t="shared" si="1"/>
        <v>3.3333333333333335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"/>
      <c r="V11" s="2"/>
      <c r="W11" s="2"/>
      <c r="X11" s="2"/>
      <c r="Y11" s="2"/>
      <c r="Z11" s="2"/>
    </row>
    <row r="12" spans="1:26" ht="43.5" customHeight="1" x14ac:dyDescent="0.25">
      <c r="A12" s="4" t="s">
        <v>12</v>
      </c>
      <c r="B12" s="5">
        <v>50</v>
      </c>
      <c r="C12" s="6">
        <v>2</v>
      </c>
      <c r="D12" s="7">
        <f t="shared" si="0"/>
        <v>100</v>
      </c>
      <c r="E12" s="5">
        <f t="shared" si="1"/>
        <v>8.3333333333333339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</row>
    <row r="13" spans="1:26" ht="43.5" customHeight="1" x14ac:dyDescent="0.25">
      <c r="A13" s="4" t="s">
        <v>13</v>
      </c>
      <c r="B13" s="5">
        <v>50</v>
      </c>
      <c r="C13" s="6">
        <v>2</v>
      </c>
      <c r="D13" s="7">
        <f t="shared" si="0"/>
        <v>100</v>
      </c>
      <c r="E13" s="5">
        <f t="shared" si="1"/>
        <v>8.3333333333333339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</row>
    <row r="14" spans="1:26" ht="43.5" customHeight="1" x14ac:dyDescent="0.25">
      <c r="A14" s="4" t="s">
        <v>14</v>
      </c>
      <c r="B14" s="5">
        <v>5</v>
      </c>
      <c r="C14" s="6">
        <v>2</v>
      </c>
      <c r="D14" s="7">
        <f t="shared" si="0"/>
        <v>10</v>
      </c>
      <c r="E14" s="5">
        <f t="shared" si="1"/>
        <v>0.83333333333333337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"/>
      <c r="V14" s="2"/>
      <c r="W14" s="2"/>
      <c r="X14" s="2"/>
      <c r="Y14" s="2"/>
      <c r="Z14" s="2"/>
    </row>
    <row r="15" spans="1:26" ht="43.5" customHeight="1" x14ac:dyDescent="0.25">
      <c r="A15" s="4" t="s">
        <v>15</v>
      </c>
      <c r="B15" s="5">
        <v>5</v>
      </c>
      <c r="C15" s="6">
        <v>12</v>
      </c>
      <c r="D15" s="7">
        <f t="shared" si="0"/>
        <v>60</v>
      </c>
      <c r="E15" s="5">
        <f t="shared" si="1"/>
        <v>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</row>
    <row r="16" spans="1:26" ht="43.5" customHeight="1" x14ac:dyDescent="0.25">
      <c r="A16" s="4" t="s">
        <v>16</v>
      </c>
      <c r="B16" s="5">
        <v>50</v>
      </c>
      <c r="C16" s="6">
        <v>2</v>
      </c>
      <c r="D16" s="7">
        <f t="shared" si="0"/>
        <v>100</v>
      </c>
      <c r="E16" s="5">
        <f t="shared" si="1"/>
        <v>8.3333333333333339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2"/>
      <c r="V16" s="2"/>
      <c r="W16" s="2"/>
      <c r="X16" s="2"/>
      <c r="Y16" s="2"/>
      <c r="Z16" s="2"/>
    </row>
    <row r="17" spans="1:26" ht="24" customHeight="1" x14ac:dyDescent="0.25">
      <c r="A17" s="191" t="s">
        <v>17</v>
      </c>
      <c r="B17" s="192"/>
      <c r="C17" s="192"/>
      <c r="D17" s="193"/>
      <c r="F17" s="8">
        <f>SUM(E6:E16)</f>
        <v>235.00000000000009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"/>
      <c r="V17" s="2"/>
      <c r="W17" s="2"/>
      <c r="X17" s="2"/>
      <c r="Y17" s="2"/>
      <c r="Z17" s="2"/>
    </row>
    <row r="18" spans="1:26" x14ac:dyDescent="0.25">
      <c r="A18" s="194" t="s">
        <v>18</v>
      </c>
      <c r="B18" s="192"/>
      <c r="C18" s="192"/>
      <c r="D18" s="192"/>
      <c r="E18" s="19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"/>
      <c r="V18" s="2"/>
      <c r="W18" s="2"/>
      <c r="X18" s="2"/>
      <c r="Y18" s="2"/>
      <c r="Z18" s="2"/>
    </row>
    <row r="19" spans="1:26" x14ac:dyDescent="0.25">
      <c r="A19" s="3"/>
      <c r="B19" s="3" t="s">
        <v>19</v>
      </c>
      <c r="C19" s="3" t="s">
        <v>20</v>
      </c>
      <c r="D19" s="3" t="s">
        <v>21</v>
      </c>
      <c r="E19" s="3" t="s">
        <v>22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"/>
      <c r="V19" s="2"/>
      <c r="W19" s="2"/>
      <c r="X19" s="2"/>
      <c r="Y19" s="2"/>
      <c r="Z19" s="2"/>
    </row>
    <row r="20" spans="1:26" x14ac:dyDescent="0.25">
      <c r="A20" s="3" t="s">
        <v>23</v>
      </c>
      <c r="B20" s="9">
        <f>D74</f>
        <v>5.89</v>
      </c>
      <c r="C20" s="9">
        <v>0.97</v>
      </c>
      <c r="D20" s="9">
        <f t="shared" ref="D20:D21" si="2">C20*B20</f>
        <v>5.7132999999999994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2"/>
      <c r="V20" s="2"/>
      <c r="W20" s="2"/>
      <c r="X20" s="2"/>
      <c r="Y20" s="2"/>
      <c r="Z20" s="2"/>
    </row>
    <row r="21" spans="1:26" ht="15.75" customHeight="1" x14ac:dyDescent="0.25">
      <c r="A21" s="3" t="s">
        <v>24</v>
      </c>
      <c r="B21" s="9">
        <v>40</v>
      </c>
      <c r="C21" s="9">
        <v>0.03</v>
      </c>
      <c r="D21" s="9">
        <f t="shared" si="2"/>
        <v>1.2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2"/>
      <c r="V21" s="2"/>
      <c r="W21" s="2"/>
      <c r="X21" s="2"/>
      <c r="Y21" s="2"/>
      <c r="Z21" s="2"/>
    </row>
    <row r="22" spans="1:26" ht="15.75" customHeight="1" x14ac:dyDescent="0.25">
      <c r="A22" s="3" t="s">
        <v>25</v>
      </c>
      <c r="B22" s="10"/>
      <c r="C22" s="10"/>
      <c r="D22" s="9">
        <v>0.3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2"/>
      <c r="V22" s="2"/>
      <c r="W22" s="2"/>
      <c r="X22" s="2"/>
      <c r="Y22" s="2"/>
      <c r="Z22" s="2"/>
    </row>
    <row r="23" spans="1:26" ht="15.75" customHeight="1" x14ac:dyDescent="0.25">
      <c r="A23" s="198" t="s">
        <v>26</v>
      </c>
      <c r="B23" s="193"/>
      <c r="C23" s="9">
        <f>C20+C22</f>
        <v>0.97</v>
      </c>
      <c r="D23" s="9">
        <f>SUM(D20:D22)</f>
        <v>7.2132999999999994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2"/>
      <c r="V23" s="2"/>
      <c r="W23" s="2"/>
      <c r="X23" s="2"/>
      <c r="Y23" s="2"/>
      <c r="Z23" s="2"/>
    </row>
    <row r="24" spans="1:26" ht="15.75" customHeight="1" x14ac:dyDescent="0.25">
      <c r="A24" s="1"/>
      <c r="B24" s="1"/>
      <c r="C24" s="1"/>
      <c r="D24" s="1"/>
      <c r="E24" s="1"/>
      <c r="F24" s="8">
        <f>D23*8*21</f>
        <v>1211.8344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"/>
      <c r="V24" s="2"/>
      <c r="W24" s="2"/>
      <c r="X24" s="2"/>
      <c r="Y24" s="2"/>
      <c r="Z24" s="2"/>
    </row>
    <row r="25" spans="1:26" ht="15.75" customHeight="1" x14ac:dyDescent="0.25">
      <c r="A25" s="198" t="s">
        <v>27</v>
      </c>
      <c r="B25" s="192"/>
      <c r="C25" s="192"/>
      <c r="D25" s="19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2"/>
      <c r="V25" s="2"/>
      <c r="W25" s="2"/>
      <c r="X25" s="2"/>
      <c r="Y25" s="2"/>
      <c r="Z25" s="2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"/>
      <c r="V26" s="2"/>
      <c r="W26" s="2"/>
      <c r="X26" s="2"/>
      <c r="Y26" s="2"/>
      <c r="Z26" s="2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"/>
      <c r="V27" s="2"/>
      <c r="W27" s="2"/>
      <c r="X27" s="2"/>
      <c r="Y27" s="2"/>
      <c r="Z27" s="2"/>
    </row>
    <row r="28" spans="1:26" ht="15.75" customHeight="1" x14ac:dyDescent="0.25">
      <c r="A28" s="194" t="s">
        <v>28</v>
      </c>
      <c r="B28" s="192"/>
      <c r="C28" s="192"/>
      <c r="D28" s="192"/>
      <c r="E28" s="193"/>
      <c r="F28" s="1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2"/>
      <c r="V28" s="2"/>
      <c r="W28" s="2"/>
      <c r="X28" s="2"/>
      <c r="Y28" s="2"/>
      <c r="Z28" s="2"/>
    </row>
    <row r="29" spans="1:26" ht="15.75" customHeight="1" x14ac:dyDescent="0.25">
      <c r="A29" s="1"/>
      <c r="B29" s="1"/>
      <c r="C29" s="1"/>
      <c r="D29" s="11"/>
      <c r="E29" s="11"/>
      <c r="F29" s="1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"/>
      <c r="V29" s="2"/>
      <c r="W29" s="2"/>
      <c r="X29" s="2"/>
      <c r="Y29" s="2"/>
      <c r="Z29" s="2"/>
    </row>
    <row r="30" spans="1:26" ht="15.75" customHeight="1" x14ac:dyDescent="0.25">
      <c r="A30" s="12" t="s">
        <v>29</v>
      </c>
      <c r="B30" s="3"/>
      <c r="C30" s="3"/>
      <c r="D30" s="13"/>
      <c r="E30" s="13"/>
      <c r="F30" s="1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"/>
      <c r="V30" s="2"/>
      <c r="W30" s="2"/>
      <c r="X30" s="2"/>
      <c r="Y30" s="2"/>
      <c r="Z30" s="2"/>
    </row>
    <row r="31" spans="1:26" ht="15.75" customHeight="1" x14ac:dyDescent="0.25">
      <c r="A31" s="14" t="s">
        <v>30</v>
      </c>
      <c r="B31" s="14" t="s">
        <v>31</v>
      </c>
      <c r="C31" s="14" t="s">
        <v>32</v>
      </c>
      <c r="D31" s="8" t="s">
        <v>33</v>
      </c>
      <c r="E31" s="8" t="s">
        <v>34</v>
      </c>
      <c r="F31" s="8" t="s">
        <v>35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"/>
      <c r="V31" s="2"/>
      <c r="W31" s="2"/>
      <c r="X31" s="2"/>
      <c r="Y31" s="2"/>
      <c r="Z31" s="2"/>
    </row>
    <row r="32" spans="1:26" ht="15.75" customHeight="1" x14ac:dyDescent="0.25">
      <c r="A32" s="15" t="s">
        <v>36</v>
      </c>
      <c r="B32" s="16" t="s">
        <v>37</v>
      </c>
      <c r="C32" s="16">
        <v>1</v>
      </c>
      <c r="D32" s="17">
        <v>80000</v>
      </c>
      <c r="E32" s="18">
        <f>C32*D32</f>
        <v>80000</v>
      </c>
      <c r="F32" s="1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"/>
      <c r="V32" s="2"/>
      <c r="W32" s="2"/>
      <c r="X32" s="2"/>
      <c r="Y32" s="2"/>
      <c r="Z32" s="2"/>
    </row>
    <row r="33" spans="1:26" ht="15.75" customHeight="1" x14ac:dyDescent="0.25">
      <c r="A33" s="15" t="s">
        <v>38</v>
      </c>
      <c r="B33" s="16" t="s">
        <v>39</v>
      </c>
      <c r="C33" s="19">
        <v>10</v>
      </c>
      <c r="D33" s="13"/>
      <c r="E33" s="13"/>
      <c r="F33" s="1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2"/>
      <c r="V33" s="2"/>
      <c r="W33" s="2"/>
      <c r="X33" s="2"/>
      <c r="Y33" s="2"/>
      <c r="Z33" s="2"/>
    </row>
    <row r="34" spans="1:26" ht="15.75" customHeight="1" x14ac:dyDescent="0.25">
      <c r="A34" s="15" t="s">
        <v>40</v>
      </c>
      <c r="B34" s="16" t="s">
        <v>39</v>
      </c>
      <c r="C34" s="19">
        <v>0</v>
      </c>
      <c r="D34" s="13"/>
      <c r="E34" s="13"/>
      <c r="F34" s="1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2"/>
      <c r="V34" s="2"/>
      <c r="W34" s="2"/>
      <c r="X34" s="2"/>
      <c r="Y34" s="2"/>
      <c r="Z34" s="2"/>
    </row>
    <row r="35" spans="1:26" ht="15.75" customHeight="1" x14ac:dyDescent="0.25">
      <c r="A35" s="15" t="s">
        <v>41</v>
      </c>
      <c r="B35" s="16" t="s">
        <v>42</v>
      </c>
      <c r="C35" s="20">
        <f>IFERROR(VLOOKUP(C33,#REF!,2,FALSE),0)</f>
        <v>0</v>
      </c>
      <c r="D35" s="13">
        <f>E32</f>
        <v>80000</v>
      </c>
      <c r="E35" s="13">
        <f>C35*D35/100</f>
        <v>0</v>
      </c>
      <c r="F35" s="1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2"/>
      <c r="V35" s="2"/>
      <c r="W35" s="2"/>
      <c r="X35" s="2"/>
      <c r="Y35" s="2"/>
      <c r="Z35" s="2"/>
    </row>
    <row r="36" spans="1:26" ht="15.75" customHeight="1" x14ac:dyDescent="0.25">
      <c r="A36" s="21" t="s">
        <v>43</v>
      </c>
      <c r="B36" s="22" t="s">
        <v>44</v>
      </c>
      <c r="C36" s="22">
        <f>C33*12</f>
        <v>120</v>
      </c>
      <c r="D36" s="23">
        <f>IF(C34&lt;=C33,E35,0)</f>
        <v>0</v>
      </c>
      <c r="E36" s="23">
        <f>IFERROR(D36/C36,0)</f>
        <v>0</v>
      </c>
      <c r="F36" s="1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"/>
      <c r="V36" s="2"/>
      <c r="W36" s="2"/>
      <c r="X36" s="2"/>
      <c r="Y36" s="2"/>
      <c r="Z36" s="2"/>
    </row>
    <row r="37" spans="1:26" ht="15.75" customHeight="1" x14ac:dyDescent="0.25">
      <c r="A37" s="15" t="s">
        <v>45</v>
      </c>
      <c r="B37" s="16" t="s">
        <v>37</v>
      </c>
      <c r="C37" s="16">
        <f>C32</f>
        <v>1</v>
      </c>
      <c r="D37" s="24">
        <v>55000</v>
      </c>
      <c r="E37" s="18">
        <f>C37*D37</f>
        <v>55000</v>
      </c>
      <c r="F37" s="1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2"/>
      <c r="V37" s="2"/>
      <c r="W37" s="2"/>
      <c r="X37" s="2"/>
      <c r="Y37" s="2"/>
      <c r="Z37" s="2"/>
    </row>
    <row r="38" spans="1:26" ht="15.75" customHeight="1" x14ac:dyDescent="0.25">
      <c r="A38" s="15" t="s">
        <v>46</v>
      </c>
      <c r="B38" s="16" t="s">
        <v>39</v>
      </c>
      <c r="C38" s="19">
        <v>10</v>
      </c>
      <c r="D38" s="13"/>
      <c r="E38" s="13"/>
      <c r="F38" s="1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"/>
      <c r="V38" s="2"/>
      <c r="W38" s="2"/>
      <c r="X38" s="2"/>
      <c r="Y38" s="2"/>
      <c r="Z38" s="2"/>
    </row>
    <row r="39" spans="1:26" ht="15.75" customHeight="1" x14ac:dyDescent="0.25">
      <c r="A39" s="15" t="s">
        <v>47</v>
      </c>
      <c r="B39" s="16" t="s">
        <v>39</v>
      </c>
      <c r="C39" s="19">
        <v>0</v>
      </c>
      <c r="D39" s="13"/>
      <c r="E39" s="13"/>
      <c r="F39" s="1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2"/>
      <c r="V39" s="2"/>
      <c r="W39" s="2"/>
      <c r="X39" s="2"/>
      <c r="Y39" s="2"/>
      <c r="Z39" s="2"/>
    </row>
    <row r="40" spans="1:26" ht="15.75" customHeight="1" x14ac:dyDescent="0.25">
      <c r="A40" s="15" t="s">
        <v>48</v>
      </c>
      <c r="B40" s="16" t="s">
        <v>42</v>
      </c>
      <c r="C40" s="25">
        <f>IFERROR(VLOOKUP(C38,Depreciação!A3:B17,2,FALSE),0)</f>
        <v>65.180000000000007</v>
      </c>
      <c r="D40" s="13">
        <f>E37</f>
        <v>55000</v>
      </c>
      <c r="E40" s="13">
        <f>C40*D40/100</f>
        <v>35849.000000000007</v>
      </c>
      <c r="F40" s="1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2"/>
      <c r="V40" s="2"/>
      <c r="W40" s="2"/>
      <c r="X40" s="2"/>
      <c r="Y40" s="2"/>
      <c r="Z40" s="2"/>
    </row>
    <row r="41" spans="1:26" ht="15.75" customHeight="1" x14ac:dyDescent="0.25">
      <c r="A41" s="21" t="s">
        <v>49</v>
      </c>
      <c r="B41" s="22" t="s">
        <v>44</v>
      </c>
      <c r="C41" s="22">
        <f>C38*12</f>
        <v>120</v>
      </c>
      <c r="D41" s="23">
        <f>IF(C39&lt;=C38,E40,0)</f>
        <v>35849.000000000007</v>
      </c>
      <c r="E41" s="23">
        <f>IFERROR(D41/C41,0)</f>
        <v>298.74166666666673</v>
      </c>
      <c r="F41" s="1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2"/>
      <c r="V41" s="2"/>
      <c r="W41" s="2"/>
      <c r="X41" s="2"/>
      <c r="Y41" s="2"/>
      <c r="Z41" s="2"/>
    </row>
    <row r="42" spans="1:26" ht="15.75" customHeight="1" x14ac:dyDescent="0.25">
      <c r="A42" s="21" t="s">
        <v>50</v>
      </c>
      <c r="B42" s="3"/>
      <c r="C42" s="3"/>
      <c r="D42" s="13"/>
      <c r="E42" s="23">
        <f>E36+E41</f>
        <v>298.74166666666673</v>
      </c>
      <c r="F42" s="1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2"/>
      <c r="V42" s="2"/>
      <c r="W42" s="2"/>
      <c r="X42" s="2"/>
      <c r="Y42" s="2"/>
      <c r="Z42" s="2"/>
    </row>
    <row r="43" spans="1:26" ht="15.75" customHeight="1" x14ac:dyDescent="0.25">
      <c r="A43" s="21" t="s">
        <v>51</v>
      </c>
      <c r="B43" s="22" t="s">
        <v>37</v>
      </c>
      <c r="C43" s="19">
        <v>1</v>
      </c>
      <c r="D43" s="23">
        <f>E42</f>
        <v>298.74166666666673</v>
      </c>
      <c r="E43" s="23">
        <f>C43*D43</f>
        <v>298.74166666666673</v>
      </c>
      <c r="F43" s="1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"/>
      <c r="V43" s="2"/>
      <c r="W43" s="2"/>
      <c r="X43" s="2"/>
      <c r="Y43" s="2"/>
      <c r="Z43" s="2"/>
    </row>
    <row r="44" spans="1:26" ht="15.75" customHeight="1" x14ac:dyDescent="0.25">
      <c r="A44" s="1"/>
      <c r="B44" s="1"/>
      <c r="C44" s="3"/>
      <c r="D44" s="26" t="s">
        <v>52</v>
      </c>
      <c r="E44" s="27">
        <v>1</v>
      </c>
      <c r="F44" s="8">
        <f>E43*E44</f>
        <v>298.74166666666673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"/>
      <c r="V44" s="2"/>
      <c r="W44" s="2"/>
      <c r="X44" s="2"/>
      <c r="Y44" s="2"/>
      <c r="Z44" s="2"/>
    </row>
    <row r="45" spans="1:26" ht="15.75" customHeight="1" x14ac:dyDescent="0.25">
      <c r="A45" s="1"/>
      <c r="B45" s="1"/>
      <c r="C45" s="1"/>
      <c r="D45" s="11"/>
      <c r="E45" s="11"/>
      <c r="F45" s="1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2"/>
      <c r="V45" s="2"/>
      <c r="W45" s="2"/>
      <c r="X45" s="2"/>
      <c r="Y45" s="2"/>
      <c r="Z45" s="2"/>
    </row>
    <row r="46" spans="1:26" ht="15.75" customHeight="1" x14ac:dyDescent="0.25">
      <c r="A46" s="12" t="s">
        <v>53</v>
      </c>
      <c r="B46" s="3"/>
      <c r="C46" s="3"/>
      <c r="D46" s="13"/>
      <c r="E46" s="13"/>
      <c r="F46" s="1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2"/>
      <c r="V46" s="2"/>
      <c r="W46" s="2"/>
      <c r="X46" s="2"/>
      <c r="Y46" s="2"/>
      <c r="Z46" s="2"/>
    </row>
    <row r="47" spans="1:26" ht="15.75" customHeight="1" x14ac:dyDescent="0.25">
      <c r="A47" s="14" t="s">
        <v>30</v>
      </c>
      <c r="B47" s="14" t="s">
        <v>31</v>
      </c>
      <c r="C47" s="14" t="s">
        <v>32</v>
      </c>
      <c r="D47" s="8" t="s">
        <v>33</v>
      </c>
      <c r="E47" s="8" t="s">
        <v>34</v>
      </c>
      <c r="F47" s="8" t="s">
        <v>54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2"/>
      <c r="V47" s="2"/>
      <c r="W47" s="2"/>
      <c r="X47" s="2"/>
      <c r="Y47" s="2"/>
      <c r="Z47" s="2"/>
    </row>
    <row r="48" spans="1:26" ht="15.75" customHeight="1" x14ac:dyDescent="0.25">
      <c r="A48" s="15" t="s">
        <v>55</v>
      </c>
      <c r="B48" s="16" t="s">
        <v>37</v>
      </c>
      <c r="C48" s="16">
        <v>1</v>
      </c>
      <c r="D48" s="13">
        <f>D32</f>
        <v>80000</v>
      </c>
      <c r="E48" s="13">
        <f>C48*D48</f>
        <v>80000</v>
      </c>
      <c r="F48" s="1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"/>
      <c r="V48" s="2"/>
      <c r="W48" s="2"/>
      <c r="X48" s="2"/>
      <c r="Y48" s="2"/>
      <c r="Z48" s="2"/>
    </row>
    <row r="49" spans="1:26" ht="15.75" customHeight="1" x14ac:dyDescent="0.25">
      <c r="A49" s="15" t="s">
        <v>56</v>
      </c>
      <c r="B49" s="16" t="s">
        <v>42</v>
      </c>
      <c r="C49" s="28">
        <v>13.25</v>
      </c>
      <c r="D49" s="13"/>
      <c r="E49" s="13"/>
      <c r="F49" s="1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2"/>
      <c r="V49" s="2"/>
      <c r="W49" s="2"/>
      <c r="X49" s="2"/>
      <c r="Y49" s="2"/>
      <c r="Z49" s="2"/>
    </row>
    <row r="50" spans="1:26" ht="15.75" customHeight="1" x14ac:dyDescent="0.25">
      <c r="A50" s="15" t="s">
        <v>57</v>
      </c>
      <c r="B50" s="16" t="s">
        <v>58</v>
      </c>
      <c r="C50" s="13">
        <f>IFERROR(IF(C34&lt;=C33,E32-(C35/(100*C33)*C34)*E32,E32-E35),0)</f>
        <v>80000</v>
      </c>
      <c r="D50" s="13"/>
      <c r="E50" s="13"/>
      <c r="F50" s="1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"/>
      <c r="V50" s="2"/>
      <c r="W50" s="2"/>
      <c r="X50" s="2"/>
      <c r="Y50" s="2"/>
      <c r="Z50" s="2"/>
    </row>
    <row r="51" spans="1:26" ht="15.75" customHeight="1" x14ac:dyDescent="0.25">
      <c r="A51" s="15" t="s">
        <v>59</v>
      </c>
      <c r="B51" s="16" t="s">
        <v>58</v>
      </c>
      <c r="C51" s="13">
        <f>IFERROR(IF(C34&gt;=C33,C50,((((C50)-(E32-E35))*(((C33-C34)+1)/(2*(C33-C34))))+(E32-E35))),0)</f>
        <v>80000</v>
      </c>
      <c r="D51" s="13"/>
      <c r="E51" s="13"/>
      <c r="F51" s="1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"/>
      <c r="V51" s="2"/>
      <c r="W51" s="2"/>
      <c r="X51" s="2"/>
      <c r="Y51" s="2"/>
      <c r="Z51" s="2"/>
    </row>
    <row r="52" spans="1:26" ht="15.75" customHeight="1" x14ac:dyDescent="0.25">
      <c r="A52" s="21" t="s">
        <v>60</v>
      </c>
      <c r="B52" s="22" t="s">
        <v>58</v>
      </c>
      <c r="C52" s="22"/>
      <c r="D52" s="23">
        <f>C49*C51/12/100</f>
        <v>883.33333333333326</v>
      </c>
      <c r="E52" s="23">
        <f>D52</f>
        <v>883.33333333333326</v>
      </c>
      <c r="F52" s="1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"/>
      <c r="V52" s="2"/>
      <c r="W52" s="2"/>
      <c r="X52" s="2"/>
      <c r="Y52" s="2"/>
      <c r="Z52" s="2"/>
    </row>
    <row r="53" spans="1:26" ht="15.75" customHeight="1" x14ac:dyDescent="0.25">
      <c r="A53" s="15" t="s">
        <v>61</v>
      </c>
      <c r="B53" s="16" t="s">
        <v>37</v>
      </c>
      <c r="C53" s="16">
        <f t="shared" ref="C53:D53" si="3">C37</f>
        <v>1</v>
      </c>
      <c r="D53" s="18">
        <f t="shared" si="3"/>
        <v>55000</v>
      </c>
      <c r="E53" s="18">
        <f>C53*D53</f>
        <v>55000</v>
      </c>
      <c r="F53" s="1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"/>
      <c r="V53" s="2"/>
      <c r="W53" s="2"/>
      <c r="X53" s="2"/>
      <c r="Y53" s="2"/>
      <c r="Z53" s="2"/>
    </row>
    <row r="54" spans="1:26" ht="15.75" customHeight="1" x14ac:dyDescent="0.25">
      <c r="A54" s="15" t="s">
        <v>56</v>
      </c>
      <c r="B54" s="16" t="s">
        <v>42</v>
      </c>
      <c r="C54" s="16">
        <f>C49</f>
        <v>13.25</v>
      </c>
      <c r="D54" s="13"/>
      <c r="E54" s="13"/>
      <c r="F54" s="1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"/>
      <c r="V54" s="2"/>
      <c r="W54" s="2"/>
      <c r="X54" s="2"/>
      <c r="Y54" s="2"/>
      <c r="Z54" s="2"/>
    </row>
    <row r="55" spans="1:26" ht="15.75" customHeight="1" x14ac:dyDescent="0.25">
      <c r="A55" s="15" t="s">
        <v>62</v>
      </c>
      <c r="B55" s="16" t="s">
        <v>58</v>
      </c>
      <c r="C55" s="13">
        <f>IFERROR(IF(C39&lt;=C38,E37-(C40/(100*C38)*C39)*E37,E37-E40),0)</f>
        <v>55000</v>
      </c>
      <c r="D55" s="13"/>
      <c r="E55" s="13"/>
      <c r="F55" s="1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  <c r="V55" s="2"/>
      <c r="W55" s="2"/>
      <c r="X55" s="2"/>
      <c r="Y55" s="2"/>
      <c r="Z55" s="2"/>
    </row>
    <row r="56" spans="1:26" ht="15.75" customHeight="1" x14ac:dyDescent="0.25">
      <c r="A56" s="15" t="s">
        <v>63</v>
      </c>
      <c r="B56" s="16" t="s">
        <v>58</v>
      </c>
      <c r="C56" s="13">
        <f>IFERROR(IF(C39&gt;=C38,C55,((((C55)-(E37-E40))*(((C38-C39)+1)/(2*(C38-C39))))+(E37-E40))),0)</f>
        <v>38867.949999999997</v>
      </c>
      <c r="D56" s="13"/>
      <c r="E56" s="13"/>
      <c r="F56" s="1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"/>
      <c r="V56" s="2"/>
      <c r="W56" s="2"/>
      <c r="X56" s="2"/>
      <c r="Y56" s="2"/>
      <c r="Z56" s="2"/>
    </row>
    <row r="57" spans="1:26" ht="15.75" customHeight="1" x14ac:dyDescent="0.25">
      <c r="A57" s="21" t="s">
        <v>64</v>
      </c>
      <c r="B57" s="22" t="s">
        <v>58</v>
      </c>
      <c r="C57" s="22"/>
      <c r="D57" s="23">
        <f>C54*C56/12/100</f>
        <v>429.16694791666663</v>
      </c>
      <c r="E57" s="23">
        <f>D57</f>
        <v>429.16694791666663</v>
      </c>
      <c r="F57" s="1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2"/>
      <c r="V57" s="2"/>
      <c r="W57" s="2"/>
      <c r="X57" s="2"/>
      <c r="Y57" s="2"/>
      <c r="Z57" s="2"/>
    </row>
    <row r="58" spans="1:26" ht="15.75" customHeight="1" x14ac:dyDescent="0.25">
      <c r="A58" s="21" t="s">
        <v>50</v>
      </c>
      <c r="B58" s="3"/>
      <c r="C58" s="3"/>
      <c r="D58" s="13"/>
      <c r="E58" s="23">
        <f>E52+E57</f>
        <v>1312.5002812499999</v>
      </c>
      <c r="F58" s="1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2"/>
      <c r="V58" s="2"/>
      <c r="W58" s="2"/>
      <c r="X58" s="2"/>
      <c r="Y58" s="2"/>
      <c r="Z58" s="2"/>
    </row>
    <row r="59" spans="1:26" ht="15.75" customHeight="1" x14ac:dyDescent="0.25">
      <c r="A59" s="21" t="s">
        <v>51</v>
      </c>
      <c r="B59" s="22" t="s">
        <v>37</v>
      </c>
      <c r="C59" s="16">
        <f>C43</f>
        <v>1</v>
      </c>
      <c r="D59" s="23">
        <f>E58</f>
        <v>1312.5002812499999</v>
      </c>
      <c r="E59" s="23">
        <f>C59*D59</f>
        <v>1312.5002812499999</v>
      </c>
      <c r="F59" s="1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"/>
      <c r="V59" s="2"/>
      <c r="W59" s="2"/>
      <c r="X59" s="2"/>
      <c r="Y59" s="2"/>
      <c r="Z59" s="2"/>
    </row>
    <row r="60" spans="1:26" ht="15.75" customHeight="1" x14ac:dyDescent="0.25">
      <c r="A60" s="1"/>
      <c r="B60" s="1"/>
      <c r="C60" s="3"/>
      <c r="D60" s="26" t="s">
        <v>52</v>
      </c>
      <c r="E60" s="27">
        <v>1</v>
      </c>
      <c r="F60" s="8">
        <f>E59*E60</f>
        <v>1312.5002812499999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"/>
      <c r="V60" s="2"/>
      <c r="W60" s="2"/>
      <c r="X60" s="2"/>
      <c r="Y60" s="2"/>
      <c r="Z60" s="2"/>
    </row>
    <row r="61" spans="1:26" ht="15.75" customHeight="1" x14ac:dyDescent="0.25">
      <c r="A61" s="1"/>
      <c r="B61" s="1"/>
      <c r="C61" s="1"/>
      <c r="D61" s="11"/>
      <c r="E61" s="11"/>
      <c r="F61" s="1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"/>
      <c r="V61" s="2"/>
      <c r="W61" s="2"/>
      <c r="X61" s="2"/>
      <c r="Y61" s="2"/>
      <c r="Z61" s="2"/>
    </row>
    <row r="62" spans="1:26" ht="15.75" customHeight="1" x14ac:dyDescent="0.25">
      <c r="A62" s="29" t="s">
        <v>65</v>
      </c>
      <c r="B62" s="3"/>
      <c r="C62" s="3"/>
      <c r="D62" s="13"/>
      <c r="E62" s="13"/>
      <c r="F62" s="1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"/>
      <c r="V62" s="2"/>
      <c r="W62" s="2"/>
      <c r="X62" s="2"/>
      <c r="Y62" s="2"/>
      <c r="Z62" s="2"/>
    </row>
    <row r="63" spans="1:26" ht="15.75" customHeight="1" x14ac:dyDescent="0.25">
      <c r="A63" s="14" t="s">
        <v>30</v>
      </c>
      <c r="B63" s="14" t="s">
        <v>31</v>
      </c>
      <c r="C63" s="14" t="s">
        <v>32</v>
      </c>
      <c r="D63" s="8" t="s">
        <v>33</v>
      </c>
      <c r="E63" s="8" t="s">
        <v>34</v>
      </c>
      <c r="F63" s="8" t="s">
        <v>66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  <c r="V63" s="2"/>
      <c r="W63" s="2"/>
      <c r="X63" s="2"/>
      <c r="Y63" s="2"/>
      <c r="Z63" s="2"/>
    </row>
    <row r="64" spans="1:26" ht="15.75" customHeight="1" x14ac:dyDescent="0.25">
      <c r="A64" s="15" t="s">
        <v>67</v>
      </c>
      <c r="B64" s="16" t="s">
        <v>37</v>
      </c>
      <c r="C64" s="24">
        <v>1</v>
      </c>
      <c r="D64" s="18">
        <f>0.01*($D$32)</f>
        <v>800</v>
      </c>
      <c r="E64" s="18">
        <f t="shared" ref="E64:E65" si="4">C64*D64</f>
        <v>800</v>
      </c>
      <c r="F64" s="1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  <c r="V64" s="2"/>
      <c r="W64" s="2"/>
      <c r="X64" s="2"/>
      <c r="Y64" s="2"/>
      <c r="Z64" s="2"/>
    </row>
    <row r="65" spans="1:26" ht="15.75" customHeight="1" x14ac:dyDescent="0.25">
      <c r="A65" s="15" t="s">
        <v>68</v>
      </c>
      <c r="B65" s="16" t="s">
        <v>37</v>
      </c>
      <c r="C65" s="18">
        <f>C64</f>
        <v>1</v>
      </c>
      <c r="D65" s="24">
        <v>150</v>
      </c>
      <c r="E65" s="13">
        <f t="shared" si="4"/>
        <v>150</v>
      </c>
      <c r="F65" s="1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"/>
      <c r="V65" s="2"/>
      <c r="W65" s="2"/>
      <c r="X65" s="2"/>
      <c r="Y65" s="2"/>
      <c r="Z65" s="2"/>
    </row>
    <row r="66" spans="1:26" ht="15.75" customHeight="1" x14ac:dyDescent="0.25">
      <c r="A66" s="21" t="s">
        <v>69</v>
      </c>
      <c r="B66" s="22" t="s">
        <v>44</v>
      </c>
      <c r="C66" s="22">
        <v>12</v>
      </c>
      <c r="D66" s="23">
        <f>SUM(E64:E65)</f>
        <v>950</v>
      </c>
      <c r="E66" s="23">
        <f>D66/C66</f>
        <v>79.166666666666671</v>
      </c>
      <c r="F66" s="1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"/>
      <c r="V66" s="2"/>
      <c r="W66" s="2"/>
      <c r="X66" s="2"/>
      <c r="Y66" s="2"/>
      <c r="Z66" s="2"/>
    </row>
    <row r="67" spans="1:26" ht="15.75" customHeight="1" x14ac:dyDescent="0.25">
      <c r="A67" s="1"/>
      <c r="B67" s="1"/>
      <c r="C67" s="3"/>
      <c r="D67" s="26" t="s">
        <v>52</v>
      </c>
      <c r="E67" s="27">
        <v>1</v>
      </c>
      <c r="F67" s="8">
        <f>E66*E67</f>
        <v>79.166666666666671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"/>
      <c r="V67" s="2"/>
      <c r="W67" s="2"/>
      <c r="X67" s="2"/>
      <c r="Y67" s="2"/>
      <c r="Z67" s="2"/>
    </row>
    <row r="68" spans="1:26" ht="15.75" customHeight="1" x14ac:dyDescent="0.25">
      <c r="A68" s="1"/>
      <c r="B68" s="1"/>
      <c r="C68" s="1"/>
      <c r="D68" s="11"/>
      <c r="E68" s="11"/>
      <c r="F68" s="1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"/>
      <c r="V68" s="2"/>
      <c r="W68" s="2"/>
      <c r="X68" s="2"/>
      <c r="Y68" s="2"/>
      <c r="Z68" s="2"/>
    </row>
    <row r="69" spans="1:26" ht="15.75" customHeight="1" x14ac:dyDescent="0.25">
      <c r="A69" s="30" t="s">
        <v>70</v>
      </c>
      <c r="B69" s="31"/>
      <c r="C69" s="1"/>
      <c r="D69" s="11"/>
      <c r="E69" s="11"/>
      <c r="F69" s="1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"/>
      <c r="V69" s="2"/>
      <c r="W69" s="2"/>
      <c r="X69" s="2"/>
      <c r="Y69" s="2"/>
      <c r="Z69" s="2"/>
    </row>
    <row r="70" spans="1:26" ht="15.75" customHeight="1" x14ac:dyDescent="0.25">
      <c r="A70" s="3"/>
      <c r="B70" s="32"/>
      <c r="C70" s="1"/>
      <c r="D70" s="11"/>
      <c r="E70" s="11"/>
      <c r="F70" s="1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  <c r="V70" s="2"/>
      <c r="W70" s="2"/>
      <c r="X70" s="2"/>
      <c r="Y70" s="2"/>
      <c r="Z70" s="2"/>
    </row>
    <row r="71" spans="1:26" ht="15.75" customHeight="1" x14ac:dyDescent="0.25">
      <c r="A71" s="33" t="s">
        <v>71</v>
      </c>
      <c r="B71" s="34">
        <v>660</v>
      </c>
      <c r="C71" s="1"/>
      <c r="D71" s="11"/>
      <c r="E71" s="11"/>
      <c r="F71" s="1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"/>
      <c r="V71" s="2"/>
      <c r="W71" s="2"/>
      <c r="X71" s="2"/>
      <c r="Y71" s="2"/>
      <c r="Z71" s="2"/>
    </row>
    <row r="72" spans="1:26" ht="15.75" customHeight="1" x14ac:dyDescent="0.25">
      <c r="A72" s="3"/>
      <c r="B72" s="32"/>
      <c r="C72" s="3"/>
      <c r="D72" s="13"/>
      <c r="E72" s="13"/>
      <c r="F72" s="13"/>
      <c r="G72" s="1"/>
      <c r="H72" s="1"/>
      <c r="I72" s="30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"/>
      <c r="V72" s="2"/>
      <c r="W72" s="2"/>
      <c r="X72" s="2"/>
      <c r="Y72" s="2"/>
      <c r="Z72" s="2"/>
    </row>
    <row r="73" spans="1:26" ht="15.75" customHeight="1" x14ac:dyDescent="0.25">
      <c r="A73" s="14" t="s">
        <v>30</v>
      </c>
      <c r="B73" s="14" t="s">
        <v>31</v>
      </c>
      <c r="C73" s="14" t="s">
        <v>72</v>
      </c>
      <c r="D73" s="8" t="s">
        <v>33</v>
      </c>
      <c r="E73" s="8" t="s">
        <v>34</v>
      </c>
      <c r="F73" s="8" t="s">
        <v>73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"/>
      <c r="V73" s="2"/>
      <c r="W73" s="2"/>
      <c r="X73" s="2"/>
      <c r="Y73" s="2"/>
      <c r="Z73" s="2"/>
    </row>
    <row r="74" spans="1:26" ht="15.75" customHeight="1" x14ac:dyDescent="0.25">
      <c r="A74" s="35" t="s">
        <v>74</v>
      </c>
      <c r="B74" s="36" t="s">
        <v>75</v>
      </c>
      <c r="C74" s="37">
        <v>9</v>
      </c>
      <c r="D74" s="38">
        <v>5.89</v>
      </c>
      <c r="E74" s="13"/>
      <c r="F74" s="1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"/>
      <c r="V74" s="2"/>
      <c r="W74" s="2"/>
      <c r="X74" s="2"/>
      <c r="Y74" s="2"/>
      <c r="Z74" s="2"/>
    </row>
    <row r="75" spans="1:26" ht="15.75" customHeight="1" x14ac:dyDescent="0.25">
      <c r="A75" s="35" t="s">
        <v>76</v>
      </c>
      <c r="B75" s="36" t="s">
        <v>77</v>
      </c>
      <c r="C75" s="39">
        <f>B71</f>
        <v>660</v>
      </c>
      <c r="D75" s="40">
        <f>IFERROR(+D74/C74,"-")</f>
        <v>0.65444444444444438</v>
      </c>
      <c r="E75" s="13">
        <f>IFERROR(C75*D75,"-")</f>
        <v>431.93333333333328</v>
      </c>
      <c r="F75" s="1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  <c r="V75" s="2"/>
      <c r="W75" s="2"/>
      <c r="X75" s="2"/>
      <c r="Y75" s="2"/>
      <c r="Z75" s="2"/>
    </row>
    <row r="76" spans="1:26" ht="15.75" customHeight="1" x14ac:dyDescent="0.25">
      <c r="A76" s="35" t="s">
        <v>78</v>
      </c>
      <c r="B76" s="36" t="s">
        <v>79</v>
      </c>
      <c r="C76" s="37">
        <v>5</v>
      </c>
      <c r="D76" s="17">
        <v>30</v>
      </c>
      <c r="E76" s="13"/>
      <c r="F76" s="1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"/>
      <c r="V76" s="2"/>
      <c r="W76" s="2"/>
      <c r="X76" s="2"/>
      <c r="Y76" s="2"/>
      <c r="Z76" s="2"/>
    </row>
    <row r="77" spans="1:26" ht="15.75" customHeight="1" x14ac:dyDescent="0.25">
      <c r="A77" s="15" t="s">
        <v>80</v>
      </c>
      <c r="B77" s="36" t="s">
        <v>77</v>
      </c>
      <c r="C77" s="39">
        <f>C75</f>
        <v>660</v>
      </c>
      <c r="D77" s="40">
        <f>+C76*D76/1000</f>
        <v>0.15</v>
      </c>
      <c r="E77" s="13">
        <f>C77*D77</f>
        <v>99</v>
      </c>
      <c r="F77" s="1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"/>
      <c r="V77" s="2"/>
      <c r="W77" s="2"/>
      <c r="X77" s="2"/>
      <c r="Y77" s="2"/>
      <c r="Z77" s="2"/>
    </row>
    <row r="78" spans="1:26" ht="15.75" customHeight="1" x14ac:dyDescent="0.25">
      <c r="A78" s="21" t="s">
        <v>81</v>
      </c>
      <c r="B78" s="22" t="s">
        <v>82</v>
      </c>
      <c r="C78" s="41"/>
      <c r="D78" s="42">
        <f>IFERROR(D75+D77+#REF!+#REF!+#REF!,0)</f>
        <v>0</v>
      </c>
      <c r="E78" s="13"/>
      <c r="F78" s="1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  <c r="V78" s="2"/>
      <c r="W78" s="2"/>
      <c r="X78" s="2"/>
      <c r="Y78" s="2"/>
      <c r="Z78" s="2"/>
    </row>
    <row r="79" spans="1:26" ht="15.75" customHeight="1" x14ac:dyDescent="0.25">
      <c r="A79" s="1"/>
      <c r="B79" s="1"/>
      <c r="C79" s="1"/>
      <c r="D79" s="11"/>
      <c r="E79" s="13"/>
      <c r="F79" s="8">
        <f>SUM(E74:E77)</f>
        <v>530.93333333333328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"/>
      <c r="V79" s="2"/>
      <c r="W79" s="2"/>
      <c r="X79" s="2"/>
      <c r="Y79" s="2"/>
      <c r="Z79" s="2"/>
    </row>
    <row r="80" spans="1:26" ht="15.75" customHeight="1" x14ac:dyDescent="0.25">
      <c r="A80" s="1"/>
      <c r="B80" s="1"/>
      <c r="C80" s="1"/>
      <c r="D80" s="11"/>
      <c r="E80" s="11"/>
      <c r="F80" s="1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  <c r="V80" s="2"/>
      <c r="W80" s="2"/>
      <c r="X80" s="2"/>
      <c r="Y80" s="2"/>
      <c r="Z80" s="2"/>
    </row>
    <row r="81" spans="1:26" ht="15.75" customHeight="1" x14ac:dyDescent="0.25">
      <c r="A81" s="29" t="s">
        <v>25</v>
      </c>
      <c r="B81" s="3"/>
      <c r="C81" s="3"/>
      <c r="D81" s="13"/>
      <c r="E81" s="13"/>
      <c r="F81" s="1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  <c r="V81" s="2"/>
      <c r="W81" s="2"/>
      <c r="X81" s="2"/>
      <c r="Y81" s="2"/>
      <c r="Z81" s="2"/>
    </row>
    <row r="82" spans="1:26" ht="15.75" customHeight="1" x14ac:dyDescent="0.25">
      <c r="A82" s="14" t="s">
        <v>30</v>
      </c>
      <c r="B82" s="14" t="s">
        <v>31</v>
      </c>
      <c r="C82" s="14" t="s">
        <v>32</v>
      </c>
      <c r="D82" s="8" t="s">
        <v>33</v>
      </c>
      <c r="E82" s="8" t="s">
        <v>34</v>
      </c>
      <c r="F82" s="8" t="s">
        <v>83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"/>
      <c r="V82" s="2"/>
      <c r="W82" s="2"/>
      <c r="X82" s="2"/>
      <c r="Y82" s="2"/>
      <c r="Z82" s="2"/>
    </row>
    <row r="83" spans="1:26" ht="15.75" customHeight="1" x14ac:dyDescent="0.25">
      <c r="A83" s="15" t="s">
        <v>84</v>
      </c>
      <c r="B83" s="16" t="s">
        <v>85</v>
      </c>
      <c r="C83" s="39">
        <f>C75</f>
        <v>660</v>
      </c>
      <c r="D83" s="17">
        <v>0.5</v>
      </c>
      <c r="E83" s="18">
        <f>C83*D83</f>
        <v>330</v>
      </c>
      <c r="F83" s="1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"/>
      <c r="V83" s="2"/>
      <c r="W83" s="2"/>
      <c r="X83" s="2"/>
      <c r="Y83" s="2"/>
      <c r="Z83" s="2"/>
    </row>
    <row r="84" spans="1:26" ht="15.75" customHeight="1" x14ac:dyDescent="0.25">
      <c r="A84" s="1"/>
      <c r="B84" s="1"/>
      <c r="C84" s="1"/>
      <c r="D84" s="11"/>
      <c r="E84" s="13"/>
      <c r="F84" s="8">
        <f>E83</f>
        <v>330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"/>
      <c r="V84" s="2"/>
      <c r="W84" s="2"/>
      <c r="X84" s="2"/>
      <c r="Y84" s="2"/>
      <c r="Z84" s="2"/>
    </row>
    <row r="85" spans="1:26" ht="15.75" customHeight="1" x14ac:dyDescent="0.25">
      <c r="A85" s="1"/>
      <c r="B85" s="1"/>
      <c r="C85" s="1"/>
      <c r="D85" s="11"/>
      <c r="E85" s="11"/>
      <c r="F85" s="1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"/>
      <c r="V85" s="2"/>
      <c r="W85" s="2"/>
      <c r="X85" s="2"/>
      <c r="Y85" s="2"/>
      <c r="Z85" s="2"/>
    </row>
    <row r="86" spans="1:26" ht="15.75" customHeight="1" x14ac:dyDescent="0.25">
      <c r="A86" s="29" t="s">
        <v>86</v>
      </c>
      <c r="B86" s="3"/>
      <c r="C86" s="3"/>
      <c r="D86" s="13"/>
      <c r="E86" s="13"/>
      <c r="F86" s="1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"/>
      <c r="V86" s="2"/>
      <c r="W86" s="2"/>
      <c r="X86" s="2"/>
      <c r="Y86" s="2"/>
      <c r="Z86" s="2"/>
    </row>
    <row r="87" spans="1:26" ht="15.75" customHeight="1" x14ac:dyDescent="0.25">
      <c r="A87" s="14" t="s">
        <v>30</v>
      </c>
      <c r="B87" s="14" t="s">
        <v>31</v>
      </c>
      <c r="C87" s="14" t="s">
        <v>32</v>
      </c>
      <c r="D87" s="8" t="s">
        <v>33</v>
      </c>
      <c r="E87" s="8" t="s">
        <v>34</v>
      </c>
      <c r="F87" s="8" t="s">
        <v>87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"/>
      <c r="V87" s="2"/>
      <c r="W87" s="2"/>
      <c r="X87" s="2"/>
      <c r="Y87" s="2"/>
      <c r="Z87" s="2"/>
    </row>
    <row r="88" spans="1:26" ht="15.75" customHeight="1" x14ac:dyDescent="0.25">
      <c r="A88" s="35" t="s">
        <v>88</v>
      </c>
      <c r="B88" s="16" t="s">
        <v>37</v>
      </c>
      <c r="C88" s="19">
        <v>4</v>
      </c>
      <c r="D88" s="17">
        <v>450</v>
      </c>
      <c r="E88" s="18">
        <f>C88*D88</f>
        <v>1800</v>
      </c>
      <c r="F88" s="1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"/>
      <c r="V88" s="2"/>
      <c r="W88" s="2"/>
      <c r="X88" s="2"/>
      <c r="Y88" s="2"/>
      <c r="Z88" s="2"/>
    </row>
    <row r="89" spans="1:26" ht="15.75" customHeight="1" x14ac:dyDescent="0.25">
      <c r="A89" s="15" t="s">
        <v>89</v>
      </c>
      <c r="B89" s="16" t="s">
        <v>37</v>
      </c>
      <c r="C89" s="28">
        <v>0</v>
      </c>
      <c r="D89" s="18"/>
      <c r="E89" s="18"/>
      <c r="F89" s="1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"/>
      <c r="V89" s="2"/>
      <c r="W89" s="2"/>
      <c r="X89" s="2"/>
      <c r="Y89" s="2"/>
      <c r="Z89" s="2"/>
    </row>
    <row r="90" spans="1:26" ht="15.75" customHeight="1" x14ac:dyDescent="0.25">
      <c r="A90" s="15" t="s">
        <v>90</v>
      </c>
      <c r="B90" s="16" t="s">
        <v>37</v>
      </c>
      <c r="C90" s="18">
        <f>C88*C89</f>
        <v>0</v>
      </c>
      <c r="D90" s="17">
        <v>0</v>
      </c>
      <c r="E90" s="18">
        <f>C90*D90</f>
        <v>0</v>
      </c>
      <c r="F90" s="1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"/>
      <c r="V90" s="2"/>
      <c r="W90" s="2"/>
      <c r="X90" s="2"/>
      <c r="Y90" s="2"/>
      <c r="Z90" s="2"/>
    </row>
    <row r="91" spans="1:26" ht="15.75" customHeight="1" x14ac:dyDescent="0.25">
      <c r="A91" s="15" t="s">
        <v>91</v>
      </c>
      <c r="B91" s="36" t="s">
        <v>92</v>
      </c>
      <c r="C91" s="43">
        <v>40000</v>
      </c>
      <c r="D91" s="13">
        <f>E88+E90</f>
        <v>1800</v>
      </c>
      <c r="E91" s="13">
        <f>IFERROR(D91/C91,"-")</f>
        <v>4.4999999999999998E-2</v>
      </c>
      <c r="F91" s="1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2"/>
      <c r="V91" s="2"/>
      <c r="W91" s="2"/>
      <c r="X91" s="2"/>
      <c r="Y91" s="2"/>
      <c r="Z91" s="2"/>
    </row>
    <row r="92" spans="1:26" ht="15.75" customHeight="1" x14ac:dyDescent="0.25">
      <c r="A92" s="15" t="s">
        <v>93</v>
      </c>
      <c r="B92" s="36" t="s">
        <v>77</v>
      </c>
      <c r="C92" s="39">
        <f>B71</f>
        <v>660</v>
      </c>
      <c r="D92" s="13">
        <f>E91</f>
        <v>4.4999999999999998E-2</v>
      </c>
      <c r="E92" s="13">
        <f>IFERROR(C92*D92,0)</f>
        <v>29.7</v>
      </c>
      <c r="F92" s="1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"/>
      <c r="V92" s="2"/>
      <c r="W92" s="2"/>
      <c r="X92" s="2"/>
      <c r="Y92" s="2"/>
      <c r="Z92" s="2"/>
    </row>
    <row r="93" spans="1:26" ht="15.75" customHeight="1" x14ac:dyDescent="0.25">
      <c r="A93" s="1"/>
      <c r="B93" s="1"/>
      <c r="C93" s="1"/>
      <c r="D93" s="11"/>
      <c r="E93" s="13"/>
      <c r="F93" s="8">
        <f>E92</f>
        <v>29.7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"/>
      <c r="V93" s="2"/>
      <c r="W93" s="2"/>
      <c r="X93" s="2"/>
      <c r="Y93" s="2"/>
      <c r="Z93" s="2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2"/>
      <c r="V94" s="2"/>
      <c r="W94" s="2"/>
      <c r="X94" s="2"/>
      <c r="Y94" s="2"/>
      <c r="Z94" s="2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"/>
      <c r="V95" s="2"/>
      <c r="W95" s="2"/>
      <c r="X95" s="2"/>
      <c r="Y95" s="2"/>
      <c r="Z95" s="2"/>
    </row>
    <row r="96" spans="1:26" ht="15.75" customHeight="1" x14ac:dyDescent="0.25">
      <c r="A96" s="199" t="s">
        <v>94</v>
      </c>
      <c r="B96" s="192"/>
      <c r="C96" s="192"/>
      <c r="D96" s="192"/>
      <c r="E96" s="193"/>
      <c r="F96" s="8">
        <f>F44+F60+F67+F79+F84+F93</f>
        <v>2581.0419479166667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2"/>
      <c r="V96" s="2"/>
      <c r="W96" s="2"/>
      <c r="X96" s="2"/>
      <c r="Y96" s="2"/>
      <c r="Z96" s="2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2"/>
      <c r="V97" s="2"/>
      <c r="W97" s="2"/>
      <c r="X97" s="2"/>
      <c r="Y97" s="2"/>
      <c r="Z97" s="2"/>
    </row>
    <row r="98" spans="1:26" ht="15.75" customHeight="1" x14ac:dyDescent="0.25">
      <c r="A98" s="199" t="s">
        <v>95</v>
      </c>
      <c r="B98" s="192"/>
      <c r="C98" s="192"/>
      <c r="D98" s="192"/>
      <c r="E98" s="193"/>
      <c r="F98" s="8">
        <f>F96+F17+F24</f>
        <v>4027.8763479166664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2"/>
      <c r="V98" s="2"/>
      <c r="W98" s="2"/>
      <c r="X98" s="2"/>
      <c r="Y98" s="2"/>
      <c r="Z98" s="2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2"/>
      <c r="V99" s="2"/>
      <c r="W99" s="2"/>
      <c r="X99" s="2"/>
      <c r="Y99" s="2"/>
      <c r="Z99" s="2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"/>
      <c r="V100" s="2"/>
      <c r="W100" s="2"/>
      <c r="X100" s="2"/>
      <c r="Y100" s="2"/>
      <c r="Z100" s="2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"/>
      <c r="V101" s="2"/>
      <c r="W101" s="2"/>
      <c r="X101" s="2"/>
      <c r="Y101" s="2"/>
      <c r="Z101" s="2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2"/>
      <c r="V102" s="2"/>
      <c r="W102" s="2"/>
      <c r="X102" s="2"/>
      <c r="Y102" s="2"/>
      <c r="Z102" s="2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2"/>
      <c r="V103" s="2"/>
      <c r="W103" s="2"/>
      <c r="X103" s="2"/>
      <c r="Y103" s="2"/>
      <c r="Z103" s="2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2"/>
      <c r="V104" s="2"/>
      <c r="W104" s="2"/>
      <c r="X104" s="2"/>
      <c r="Y104" s="2"/>
      <c r="Z104" s="2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2"/>
      <c r="V105" s="2"/>
      <c r="W105" s="2"/>
      <c r="X105" s="2"/>
      <c r="Y105" s="2"/>
      <c r="Z105" s="2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2"/>
      <c r="V106" s="2"/>
      <c r="W106" s="2"/>
      <c r="X106" s="2"/>
      <c r="Y106" s="2"/>
      <c r="Z106" s="2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2"/>
      <c r="V107" s="2"/>
      <c r="W107" s="2"/>
      <c r="X107" s="2"/>
      <c r="Y107" s="2"/>
      <c r="Z107" s="2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2"/>
      <c r="V108" s="2"/>
      <c r="W108" s="2"/>
      <c r="X108" s="2"/>
      <c r="Y108" s="2"/>
      <c r="Z108" s="2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2"/>
      <c r="V109" s="2"/>
      <c r="W109" s="2"/>
      <c r="X109" s="2"/>
      <c r="Y109" s="2"/>
      <c r="Z109" s="2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2"/>
      <c r="V110" s="2"/>
      <c r="W110" s="2"/>
      <c r="X110" s="2"/>
      <c r="Y110" s="2"/>
      <c r="Z110" s="2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2"/>
      <c r="V111" s="2"/>
      <c r="W111" s="2"/>
      <c r="X111" s="2"/>
      <c r="Y111" s="2"/>
      <c r="Z111" s="2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2"/>
      <c r="V112" s="2"/>
      <c r="W112" s="2"/>
      <c r="X112" s="2"/>
      <c r="Y112" s="2"/>
      <c r="Z112" s="2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2"/>
      <c r="V113" s="2"/>
      <c r="W113" s="2"/>
      <c r="X113" s="2"/>
      <c r="Y113" s="2"/>
      <c r="Z113" s="2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2"/>
      <c r="V114" s="2"/>
      <c r="W114" s="2"/>
      <c r="X114" s="2"/>
      <c r="Y114" s="2"/>
      <c r="Z114" s="2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2"/>
      <c r="V115" s="2"/>
      <c r="W115" s="2"/>
      <c r="X115" s="2"/>
      <c r="Y115" s="2"/>
      <c r="Z115" s="2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2"/>
      <c r="V116" s="2"/>
      <c r="W116" s="2"/>
      <c r="X116" s="2"/>
      <c r="Y116" s="2"/>
      <c r="Z116" s="2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2"/>
      <c r="V117" s="2"/>
      <c r="W117" s="2"/>
      <c r="X117" s="2"/>
      <c r="Y117" s="2"/>
      <c r="Z117" s="2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2"/>
      <c r="V118" s="2"/>
      <c r="W118" s="2"/>
      <c r="X118" s="2"/>
      <c r="Y118" s="2"/>
      <c r="Z118" s="2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2"/>
      <c r="V119" s="2"/>
      <c r="W119" s="2"/>
      <c r="X119" s="2"/>
      <c r="Y119" s="2"/>
      <c r="Z119" s="2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2"/>
      <c r="V120" s="2"/>
      <c r="W120" s="2"/>
      <c r="X120" s="2"/>
      <c r="Y120" s="2"/>
      <c r="Z120" s="2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2"/>
      <c r="V121" s="2"/>
      <c r="W121" s="2"/>
      <c r="X121" s="2"/>
      <c r="Y121" s="2"/>
      <c r="Z121" s="2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2"/>
      <c r="V122" s="2"/>
      <c r="W122" s="2"/>
      <c r="X122" s="2"/>
      <c r="Y122" s="2"/>
      <c r="Z122" s="2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2"/>
      <c r="V123" s="2"/>
      <c r="W123" s="2"/>
      <c r="X123" s="2"/>
      <c r="Y123" s="2"/>
      <c r="Z123" s="2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2"/>
      <c r="V124" s="2"/>
      <c r="W124" s="2"/>
      <c r="X124" s="2"/>
      <c r="Y124" s="2"/>
      <c r="Z124" s="2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2"/>
      <c r="V125" s="2"/>
      <c r="W125" s="2"/>
      <c r="X125" s="2"/>
      <c r="Y125" s="2"/>
      <c r="Z125" s="2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2"/>
      <c r="V126" s="2"/>
      <c r="W126" s="2"/>
      <c r="X126" s="2"/>
      <c r="Y126" s="2"/>
      <c r="Z126" s="2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2"/>
      <c r="V127" s="2"/>
      <c r="W127" s="2"/>
      <c r="X127" s="2"/>
      <c r="Y127" s="2"/>
      <c r="Z127" s="2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2"/>
      <c r="V128" s="2"/>
      <c r="W128" s="2"/>
      <c r="X128" s="2"/>
      <c r="Y128" s="2"/>
      <c r="Z128" s="2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2"/>
      <c r="V129" s="2"/>
      <c r="W129" s="2"/>
      <c r="X129" s="2"/>
      <c r="Y129" s="2"/>
      <c r="Z129" s="2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2"/>
      <c r="V130" s="2"/>
      <c r="W130" s="2"/>
      <c r="X130" s="2"/>
      <c r="Y130" s="2"/>
      <c r="Z130" s="2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2"/>
      <c r="V131" s="2"/>
      <c r="W131" s="2"/>
      <c r="X131" s="2"/>
      <c r="Y131" s="2"/>
      <c r="Z131" s="2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2"/>
      <c r="V132" s="2"/>
      <c r="W132" s="2"/>
      <c r="X132" s="2"/>
      <c r="Y132" s="2"/>
      <c r="Z132" s="2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2"/>
      <c r="V133" s="2"/>
      <c r="W133" s="2"/>
      <c r="X133" s="2"/>
      <c r="Y133" s="2"/>
      <c r="Z133" s="2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2"/>
      <c r="V134" s="2"/>
      <c r="W134" s="2"/>
      <c r="X134" s="2"/>
      <c r="Y134" s="2"/>
      <c r="Z134" s="2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2"/>
      <c r="V135" s="2"/>
      <c r="W135" s="2"/>
      <c r="X135" s="2"/>
      <c r="Y135" s="2"/>
      <c r="Z135" s="2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2"/>
      <c r="V136" s="2"/>
      <c r="W136" s="2"/>
      <c r="X136" s="2"/>
      <c r="Y136" s="2"/>
      <c r="Z136" s="2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2"/>
      <c r="V137" s="2"/>
      <c r="W137" s="2"/>
      <c r="X137" s="2"/>
      <c r="Y137" s="2"/>
      <c r="Z137" s="2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2"/>
      <c r="V138" s="2"/>
      <c r="W138" s="2"/>
      <c r="X138" s="2"/>
      <c r="Y138" s="2"/>
      <c r="Z138" s="2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2"/>
      <c r="V139" s="2"/>
      <c r="W139" s="2"/>
      <c r="X139" s="2"/>
      <c r="Y139" s="2"/>
      <c r="Z139" s="2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2"/>
      <c r="V140" s="2"/>
      <c r="W140" s="2"/>
      <c r="X140" s="2"/>
      <c r="Y140" s="2"/>
      <c r="Z140" s="2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2"/>
      <c r="V141" s="2"/>
      <c r="W141" s="2"/>
      <c r="X141" s="2"/>
      <c r="Y141" s="2"/>
      <c r="Z141" s="2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2"/>
      <c r="V142" s="2"/>
      <c r="W142" s="2"/>
      <c r="X142" s="2"/>
      <c r="Y142" s="2"/>
      <c r="Z142" s="2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2"/>
      <c r="V143" s="2"/>
      <c r="W143" s="2"/>
      <c r="X143" s="2"/>
      <c r="Y143" s="2"/>
      <c r="Z143" s="2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2"/>
      <c r="V144" s="2"/>
      <c r="W144" s="2"/>
      <c r="X144" s="2"/>
      <c r="Y144" s="2"/>
      <c r="Z144" s="2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2"/>
      <c r="V145" s="2"/>
      <c r="W145" s="2"/>
      <c r="X145" s="2"/>
      <c r="Y145" s="2"/>
      <c r="Z145" s="2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2"/>
      <c r="V146" s="2"/>
      <c r="W146" s="2"/>
      <c r="X146" s="2"/>
      <c r="Y146" s="2"/>
      <c r="Z146" s="2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2"/>
      <c r="V147" s="2"/>
      <c r="W147" s="2"/>
      <c r="X147" s="2"/>
      <c r="Y147" s="2"/>
      <c r="Z147" s="2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2"/>
      <c r="V148" s="2"/>
      <c r="W148" s="2"/>
      <c r="X148" s="2"/>
      <c r="Y148" s="2"/>
      <c r="Z148" s="2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2"/>
      <c r="V149" s="2"/>
      <c r="W149" s="2"/>
      <c r="X149" s="2"/>
      <c r="Y149" s="2"/>
      <c r="Z149" s="2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2"/>
      <c r="V150" s="2"/>
      <c r="W150" s="2"/>
      <c r="X150" s="2"/>
      <c r="Y150" s="2"/>
      <c r="Z150" s="2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2"/>
      <c r="V151" s="2"/>
      <c r="W151" s="2"/>
      <c r="X151" s="2"/>
      <c r="Y151" s="2"/>
      <c r="Z151" s="2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2"/>
      <c r="V152" s="2"/>
      <c r="W152" s="2"/>
      <c r="X152" s="2"/>
      <c r="Y152" s="2"/>
      <c r="Z152" s="2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2"/>
      <c r="V153" s="2"/>
      <c r="W153" s="2"/>
      <c r="X153" s="2"/>
      <c r="Y153" s="2"/>
      <c r="Z153" s="2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2"/>
      <c r="V154" s="2"/>
      <c r="W154" s="2"/>
      <c r="X154" s="2"/>
      <c r="Y154" s="2"/>
      <c r="Z154" s="2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2"/>
      <c r="V155" s="2"/>
      <c r="W155" s="2"/>
      <c r="X155" s="2"/>
      <c r="Y155" s="2"/>
      <c r="Z155" s="2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2"/>
      <c r="V156" s="2"/>
      <c r="W156" s="2"/>
      <c r="X156" s="2"/>
      <c r="Y156" s="2"/>
      <c r="Z156" s="2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2"/>
      <c r="V157" s="2"/>
      <c r="W157" s="2"/>
      <c r="X157" s="2"/>
      <c r="Y157" s="2"/>
      <c r="Z157" s="2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2"/>
      <c r="V158" s="2"/>
      <c r="W158" s="2"/>
      <c r="X158" s="2"/>
      <c r="Y158" s="2"/>
      <c r="Z158" s="2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2"/>
      <c r="V159" s="2"/>
      <c r="W159" s="2"/>
      <c r="X159" s="2"/>
      <c r="Y159" s="2"/>
      <c r="Z159" s="2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2"/>
      <c r="V160" s="2"/>
      <c r="W160" s="2"/>
      <c r="X160" s="2"/>
      <c r="Y160" s="2"/>
      <c r="Z160" s="2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2"/>
      <c r="V161" s="2"/>
      <c r="W161" s="2"/>
      <c r="X161" s="2"/>
      <c r="Y161" s="2"/>
      <c r="Z161" s="2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2"/>
      <c r="V162" s="2"/>
      <c r="W162" s="2"/>
      <c r="X162" s="2"/>
      <c r="Y162" s="2"/>
      <c r="Z162" s="2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2"/>
      <c r="V163" s="2"/>
      <c r="W163" s="2"/>
      <c r="X163" s="2"/>
      <c r="Y163" s="2"/>
      <c r="Z163" s="2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2"/>
      <c r="V164" s="2"/>
      <c r="W164" s="2"/>
      <c r="X164" s="2"/>
      <c r="Y164" s="2"/>
      <c r="Z164" s="2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2"/>
      <c r="V165" s="2"/>
      <c r="W165" s="2"/>
      <c r="X165" s="2"/>
      <c r="Y165" s="2"/>
      <c r="Z165" s="2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2"/>
      <c r="V166" s="2"/>
      <c r="W166" s="2"/>
      <c r="X166" s="2"/>
      <c r="Y166" s="2"/>
      <c r="Z166" s="2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2"/>
      <c r="V167" s="2"/>
      <c r="W167" s="2"/>
      <c r="X167" s="2"/>
      <c r="Y167" s="2"/>
      <c r="Z167" s="2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2"/>
      <c r="V168" s="2"/>
      <c r="W168" s="2"/>
      <c r="X168" s="2"/>
      <c r="Y168" s="2"/>
      <c r="Z168" s="2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2"/>
      <c r="V169" s="2"/>
      <c r="W169" s="2"/>
      <c r="X169" s="2"/>
      <c r="Y169" s="2"/>
      <c r="Z169" s="2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2"/>
      <c r="V170" s="2"/>
      <c r="W170" s="2"/>
      <c r="X170" s="2"/>
      <c r="Y170" s="2"/>
      <c r="Z170" s="2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2"/>
      <c r="V171" s="2"/>
      <c r="W171" s="2"/>
      <c r="X171" s="2"/>
      <c r="Y171" s="2"/>
      <c r="Z171" s="2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2"/>
      <c r="V172" s="2"/>
      <c r="W172" s="2"/>
      <c r="X172" s="2"/>
      <c r="Y172" s="2"/>
      <c r="Z172" s="2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2"/>
      <c r="V173" s="2"/>
      <c r="W173" s="2"/>
      <c r="X173" s="2"/>
      <c r="Y173" s="2"/>
      <c r="Z173" s="2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2"/>
      <c r="V174" s="2"/>
      <c r="W174" s="2"/>
      <c r="X174" s="2"/>
      <c r="Y174" s="2"/>
      <c r="Z174" s="2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2"/>
      <c r="V175" s="2"/>
      <c r="W175" s="2"/>
      <c r="X175" s="2"/>
      <c r="Y175" s="2"/>
      <c r="Z175" s="2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2"/>
      <c r="V176" s="2"/>
      <c r="W176" s="2"/>
      <c r="X176" s="2"/>
      <c r="Y176" s="2"/>
      <c r="Z176" s="2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2"/>
      <c r="V177" s="2"/>
      <c r="W177" s="2"/>
      <c r="X177" s="2"/>
      <c r="Y177" s="2"/>
      <c r="Z177" s="2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2"/>
      <c r="V178" s="2"/>
      <c r="W178" s="2"/>
      <c r="X178" s="2"/>
      <c r="Y178" s="2"/>
      <c r="Z178" s="2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2"/>
      <c r="V179" s="2"/>
      <c r="W179" s="2"/>
      <c r="X179" s="2"/>
      <c r="Y179" s="2"/>
      <c r="Z179" s="2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2"/>
      <c r="V180" s="2"/>
      <c r="W180" s="2"/>
      <c r="X180" s="2"/>
      <c r="Y180" s="2"/>
      <c r="Z180" s="2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2"/>
      <c r="V181" s="2"/>
      <c r="W181" s="2"/>
      <c r="X181" s="2"/>
      <c r="Y181" s="2"/>
      <c r="Z181" s="2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2"/>
      <c r="V182" s="2"/>
      <c r="W182" s="2"/>
      <c r="X182" s="2"/>
      <c r="Y182" s="2"/>
      <c r="Z182" s="2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2"/>
      <c r="V183" s="2"/>
      <c r="W183" s="2"/>
      <c r="X183" s="2"/>
      <c r="Y183" s="2"/>
      <c r="Z183" s="2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2"/>
      <c r="V184" s="2"/>
      <c r="W184" s="2"/>
      <c r="X184" s="2"/>
      <c r="Y184" s="2"/>
      <c r="Z184" s="2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2"/>
      <c r="V185" s="2"/>
      <c r="W185" s="2"/>
      <c r="X185" s="2"/>
      <c r="Y185" s="2"/>
      <c r="Z185" s="2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2"/>
      <c r="V186" s="2"/>
      <c r="W186" s="2"/>
      <c r="X186" s="2"/>
      <c r="Y186" s="2"/>
      <c r="Z186" s="2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2"/>
      <c r="V187" s="2"/>
      <c r="W187" s="2"/>
      <c r="X187" s="2"/>
      <c r="Y187" s="2"/>
      <c r="Z187" s="2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2"/>
      <c r="V188" s="2"/>
      <c r="W188" s="2"/>
      <c r="X188" s="2"/>
      <c r="Y188" s="2"/>
      <c r="Z188" s="2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2"/>
      <c r="V189" s="2"/>
      <c r="W189" s="2"/>
      <c r="X189" s="2"/>
      <c r="Y189" s="2"/>
      <c r="Z189" s="2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2"/>
      <c r="V190" s="2"/>
      <c r="W190" s="2"/>
      <c r="X190" s="2"/>
      <c r="Y190" s="2"/>
      <c r="Z190" s="2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2"/>
      <c r="V191" s="2"/>
      <c r="W191" s="2"/>
      <c r="X191" s="2"/>
      <c r="Y191" s="2"/>
      <c r="Z191" s="2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2"/>
      <c r="V192" s="2"/>
      <c r="W192" s="2"/>
      <c r="X192" s="2"/>
      <c r="Y192" s="2"/>
      <c r="Z192" s="2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2"/>
      <c r="V193" s="2"/>
      <c r="W193" s="2"/>
      <c r="X193" s="2"/>
      <c r="Y193" s="2"/>
      <c r="Z193" s="2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2"/>
      <c r="V194" s="2"/>
      <c r="W194" s="2"/>
      <c r="X194" s="2"/>
      <c r="Y194" s="2"/>
      <c r="Z194" s="2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2"/>
      <c r="V195" s="2"/>
      <c r="W195" s="2"/>
      <c r="X195" s="2"/>
      <c r="Y195" s="2"/>
      <c r="Z195" s="2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2"/>
      <c r="V196" s="2"/>
      <c r="W196" s="2"/>
      <c r="X196" s="2"/>
      <c r="Y196" s="2"/>
      <c r="Z196" s="2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2"/>
      <c r="V197" s="2"/>
      <c r="W197" s="2"/>
      <c r="X197" s="2"/>
      <c r="Y197" s="2"/>
      <c r="Z197" s="2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2"/>
      <c r="V198" s="2"/>
      <c r="W198" s="2"/>
      <c r="X198" s="2"/>
      <c r="Y198" s="2"/>
      <c r="Z198" s="2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2"/>
      <c r="V199" s="2"/>
      <c r="W199" s="2"/>
      <c r="X199" s="2"/>
      <c r="Y199" s="2"/>
      <c r="Z199" s="2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2"/>
      <c r="V200" s="2"/>
      <c r="W200" s="2"/>
      <c r="X200" s="2"/>
      <c r="Y200" s="2"/>
      <c r="Z200" s="2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2"/>
      <c r="V201" s="2"/>
      <c r="W201" s="2"/>
      <c r="X201" s="2"/>
      <c r="Y201" s="2"/>
      <c r="Z201" s="2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2"/>
      <c r="V202" s="2"/>
      <c r="W202" s="2"/>
      <c r="X202" s="2"/>
      <c r="Y202" s="2"/>
      <c r="Z202" s="2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2"/>
      <c r="V203" s="2"/>
      <c r="W203" s="2"/>
      <c r="X203" s="2"/>
      <c r="Y203" s="2"/>
      <c r="Z203" s="2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2"/>
      <c r="V204" s="2"/>
      <c r="W204" s="2"/>
      <c r="X204" s="2"/>
      <c r="Y204" s="2"/>
      <c r="Z204" s="2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2"/>
      <c r="V205" s="2"/>
      <c r="W205" s="2"/>
      <c r="X205" s="2"/>
      <c r="Y205" s="2"/>
      <c r="Z205" s="2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2"/>
      <c r="V206" s="2"/>
      <c r="W206" s="2"/>
      <c r="X206" s="2"/>
      <c r="Y206" s="2"/>
      <c r="Z206" s="2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2"/>
      <c r="V207" s="2"/>
      <c r="W207" s="2"/>
      <c r="X207" s="2"/>
      <c r="Y207" s="2"/>
      <c r="Z207" s="2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2"/>
      <c r="V208" s="2"/>
      <c r="W208" s="2"/>
      <c r="X208" s="2"/>
      <c r="Y208" s="2"/>
      <c r="Z208" s="2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2"/>
      <c r="V209" s="2"/>
      <c r="W209" s="2"/>
      <c r="X209" s="2"/>
      <c r="Y209" s="2"/>
      <c r="Z209" s="2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2"/>
      <c r="V210" s="2"/>
      <c r="W210" s="2"/>
      <c r="X210" s="2"/>
      <c r="Y210" s="2"/>
      <c r="Z210" s="2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2"/>
      <c r="V211" s="2"/>
      <c r="W211" s="2"/>
      <c r="X211" s="2"/>
      <c r="Y211" s="2"/>
      <c r="Z211" s="2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2"/>
      <c r="V212" s="2"/>
      <c r="W212" s="2"/>
      <c r="X212" s="2"/>
      <c r="Y212" s="2"/>
      <c r="Z212" s="2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2"/>
      <c r="V213" s="2"/>
      <c r="W213" s="2"/>
      <c r="X213" s="2"/>
      <c r="Y213" s="2"/>
      <c r="Z213" s="2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2"/>
      <c r="V214" s="2"/>
      <c r="W214" s="2"/>
      <c r="X214" s="2"/>
      <c r="Y214" s="2"/>
      <c r="Z214" s="2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2"/>
      <c r="V215" s="2"/>
      <c r="W215" s="2"/>
      <c r="X215" s="2"/>
      <c r="Y215" s="2"/>
      <c r="Z215" s="2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2"/>
      <c r="V216" s="2"/>
      <c r="W216" s="2"/>
      <c r="X216" s="2"/>
      <c r="Y216" s="2"/>
      <c r="Z216" s="2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2"/>
      <c r="V217" s="2"/>
      <c r="W217" s="2"/>
      <c r="X217" s="2"/>
      <c r="Y217" s="2"/>
      <c r="Z217" s="2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2"/>
      <c r="V218" s="2"/>
      <c r="W218" s="2"/>
      <c r="X218" s="2"/>
      <c r="Y218" s="2"/>
      <c r="Z218" s="2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</sheetData>
  <mergeCells count="13">
    <mergeCell ref="A23:B23"/>
    <mergeCell ref="A25:D25"/>
    <mergeCell ref="A96:E96"/>
    <mergeCell ref="A28:E28"/>
    <mergeCell ref="A98:E98"/>
    <mergeCell ref="A17:D17"/>
    <mergeCell ref="A18:E18"/>
    <mergeCell ref="E4:E5"/>
    <mergeCell ref="A2:E2"/>
    <mergeCell ref="A4:A5"/>
    <mergeCell ref="B4:B5"/>
    <mergeCell ref="C4:C5"/>
    <mergeCell ref="D4:D5"/>
  </mergeCells>
  <pageMargins left="0.7" right="0.7" top="0.75" bottom="0.75" header="0" footer="0"/>
  <pageSetup paperSize="9" scale="8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7"/>
  <sheetViews>
    <sheetView workbookViewId="0">
      <selection sqref="A1:B1"/>
    </sheetView>
  </sheetViews>
  <sheetFormatPr defaultColWidth="12.625" defaultRowHeight="15" customHeight="1" x14ac:dyDescent="0.2"/>
  <cols>
    <col min="1" max="2" width="23.5" customWidth="1"/>
  </cols>
  <sheetData>
    <row r="1" spans="1:2" ht="15" customHeight="1" x14ac:dyDescent="0.25">
      <c r="A1" s="200" t="s">
        <v>96</v>
      </c>
      <c r="B1" s="201"/>
    </row>
    <row r="2" spans="1:2" ht="15" customHeight="1" x14ac:dyDescent="0.25">
      <c r="A2" s="44" t="s">
        <v>97</v>
      </c>
      <c r="B2" s="45" t="s">
        <v>98</v>
      </c>
    </row>
    <row r="3" spans="1:2" ht="14.25" x14ac:dyDescent="0.2">
      <c r="A3" s="46">
        <v>1</v>
      </c>
      <c r="B3" s="47">
        <v>33.629999999999995</v>
      </c>
    </row>
    <row r="4" spans="1:2" ht="14.25" x14ac:dyDescent="0.2">
      <c r="A4" s="46">
        <v>2</v>
      </c>
      <c r="B4" s="47">
        <v>43.13</v>
      </c>
    </row>
    <row r="5" spans="1:2" ht="14.25" x14ac:dyDescent="0.2">
      <c r="A5" s="46">
        <v>3</v>
      </c>
      <c r="B5" s="47">
        <v>48.68</v>
      </c>
    </row>
    <row r="6" spans="1:2" ht="14.25" x14ac:dyDescent="0.2">
      <c r="A6" s="46">
        <v>4</v>
      </c>
      <c r="B6" s="47">
        <v>52.62</v>
      </c>
    </row>
    <row r="7" spans="1:2" ht="14.25" x14ac:dyDescent="0.2">
      <c r="A7" s="46">
        <v>5</v>
      </c>
      <c r="B7" s="47">
        <v>55.679999999999993</v>
      </c>
    </row>
    <row r="8" spans="1:2" ht="14.25" x14ac:dyDescent="0.2">
      <c r="A8" s="46">
        <v>6</v>
      </c>
      <c r="B8" s="47">
        <v>58.18</v>
      </c>
    </row>
    <row r="9" spans="1:2" ht="14.25" x14ac:dyDescent="0.2">
      <c r="A9" s="46">
        <v>7</v>
      </c>
      <c r="B9" s="47">
        <v>60.29</v>
      </c>
    </row>
    <row r="10" spans="1:2" ht="14.25" x14ac:dyDescent="0.2">
      <c r="A10" s="46">
        <v>8</v>
      </c>
      <c r="B10" s="47">
        <v>62.12</v>
      </c>
    </row>
    <row r="11" spans="1:2" ht="14.25" x14ac:dyDescent="0.2">
      <c r="A11" s="46">
        <v>9</v>
      </c>
      <c r="B11" s="47">
        <v>63.73</v>
      </c>
    </row>
    <row r="12" spans="1:2" ht="14.25" x14ac:dyDescent="0.2">
      <c r="A12" s="46">
        <v>10</v>
      </c>
      <c r="B12" s="47">
        <v>65.180000000000007</v>
      </c>
    </row>
    <row r="13" spans="1:2" ht="14.25" x14ac:dyDescent="0.2">
      <c r="A13" s="46">
        <v>11</v>
      </c>
      <c r="B13" s="47">
        <v>66.47999999999999</v>
      </c>
    </row>
    <row r="14" spans="1:2" ht="14.25" x14ac:dyDescent="0.2">
      <c r="A14" s="46">
        <v>12</v>
      </c>
      <c r="B14" s="47">
        <v>67.67</v>
      </c>
    </row>
    <row r="15" spans="1:2" ht="14.25" x14ac:dyDescent="0.2">
      <c r="A15" s="46">
        <v>13</v>
      </c>
      <c r="B15" s="47">
        <v>68.77</v>
      </c>
    </row>
    <row r="16" spans="1:2" ht="14.25" x14ac:dyDescent="0.2">
      <c r="A16" s="46">
        <v>14</v>
      </c>
      <c r="B16" s="47">
        <v>69.789999999999992</v>
      </c>
    </row>
    <row r="17" spans="1:2" ht="14.25" x14ac:dyDescent="0.2">
      <c r="A17" s="46">
        <v>15</v>
      </c>
      <c r="B17" s="47">
        <v>70.73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01"/>
  <sheetViews>
    <sheetView tabSelected="1" topLeftCell="A175" workbookViewId="0">
      <selection activeCell="A54" sqref="A54"/>
    </sheetView>
  </sheetViews>
  <sheetFormatPr defaultColWidth="12.625" defaultRowHeight="15" customHeight="1" x14ac:dyDescent="0.2"/>
  <cols>
    <col min="1" max="1" width="18.625" customWidth="1"/>
    <col min="2" max="2" width="14.625" customWidth="1"/>
    <col min="3" max="3" width="12.375" customWidth="1"/>
    <col min="4" max="4" width="12" customWidth="1"/>
    <col min="5" max="5" width="15.875" customWidth="1"/>
    <col min="6" max="6" width="9" customWidth="1"/>
    <col min="7" max="7" width="9.625" customWidth="1"/>
    <col min="8" max="11" width="8" customWidth="1"/>
    <col min="12" max="25" width="7.625" customWidth="1"/>
  </cols>
  <sheetData>
    <row r="1" spans="1:25" x14ac:dyDescent="0.25">
      <c r="A1" s="204" t="s">
        <v>99</v>
      </c>
      <c r="B1" s="201"/>
      <c r="C1" s="201"/>
      <c r="D1" s="201"/>
      <c r="E1" s="20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241" t="s">
        <v>100</v>
      </c>
      <c r="B2" s="201"/>
      <c r="C2" s="201"/>
      <c r="D2" s="201"/>
      <c r="E2" s="20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5">
      <c r="A3" s="241"/>
      <c r="B3" s="201"/>
      <c r="C3" s="201"/>
      <c r="D3" s="201"/>
      <c r="E3" s="20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5">
      <c r="A4" s="233" t="s">
        <v>101</v>
      </c>
      <c r="B4" s="192"/>
      <c r="C4" s="192"/>
      <c r="D4" s="192"/>
      <c r="E4" s="19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5">
      <c r="A5" s="228" t="s">
        <v>102</v>
      </c>
      <c r="B5" s="193"/>
      <c r="C5" s="228" t="s">
        <v>103</v>
      </c>
      <c r="D5" s="192"/>
      <c r="E5" s="19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5">
      <c r="A6" s="228" t="s">
        <v>104</v>
      </c>
      <c r="B6" s="193"/>
      <c r="C6" s="228" t="s">
        <v>105</v>
      </c>
      <c r="D6" s="192"/>
      <c r="E6" s="19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5">
      <c r="A7" s="228" t="s">
        <v>106</v>
      </c>
      <c r="B7" s="193"/>
      <c r="C7" s="228" t="s">
        <v>107</v>
      </c>
      <c r="D7" s="192"/>
      <c r="E7" s="19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5">
      <c r="A8" s="228" t="s">
        <v>108</v>
      </c>
      <c r="B8" s="193"/>
      <c r="C8" s="228">
        <v>6220</v>
      </c>
      <c r="D8" s="192"/>
      <c r="E8" s="19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25">
      <c r="A9" s="228" t="s">
        <v>109</v>
      </c>
      <c r="B9" s="193"/>
      <c r="C9" s="228" t="s">
        <v>110</v>
      </c>
      <c r="D9" s="192"/>
      <c r="E9" s="19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228" t="s">
        <v>111</v>
      </c>
      <c r="B10" s="193"/>
      <c r="C10" s="228" t="s">
        <v>112</v>
      </c>
      <c r="D10" s="192"/>
      <c r="E10" s="19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25">
      <c r="A11" s="228" t="s">
        <v>113</v>
      </c>
      <c r="B11" s="193"/>
      <c r="C11" s="240">
        <v>1314.09</v>
      </c>
      <c r="D11" s="192"/>
      <c r="E11" s="19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25">
      <c r="A12" s="228" t="s">
        <v>114</v>
      </c>
      <c r="B12" s="193"/>
      <c r="C12" s="49" t="s">
        <v>115</v>
      </c>
      <c r="D12" s="49" t="s">
        <v>116</v>
      </c>
      <c r="E12" s="49" t="s">
        <v>117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25">
      <c r="A13" s="242"/>
      <c r="B13" s="223"/>
      <c r="C13" s="50">
        <v>1</v>
      </c>
      <c r="D13" s="51">
        <v>20.18</v>
      </c>
      <c r="E13" s="52">
        <v>0.19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5">
      <c r="A14" s="228" t="s">
        <v>118</v>
      </c>
      <c r="B14" s="193"/>
      <c r="C14" s="49" t="s">
        <v>115</v>
      </c>
      <c r="D14" s="49" t="s">
        <v>116</v>
      </c>
      <c r="E14" s="49" t="s">
        <v>117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243"/>
      <c r="B15" s="193"/>
      <c r="C15" s="50">
        <v>2</v>
      </c>
      <c r="D15" s="53">
        <v>5.15</v>
      </c>
      <c r="E15" s="54">
        <v>0.06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25">
      <c r="A16" s="228" t="s">
        <v>119</v>
      </c>
      <c r="B16" s="193"/>
      <c r="C16" s="50"/>
      <c r="D16" s="51">
        <v>17.32</v>
      </c>
      <c r="E16" s="5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1.75" customHeight="1" x14ac:dyDescent="0.25">
      <c r="A17" s="231"/>
      <c r="B17" s="232"/>
      <c r="C17" s="232"/>
      <c r="D17" s="232"/>
      <c r="E17" s="23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25">
      <c r="A18" s="55"/>
      <c r="B18" s="55"/>
      <c r="C18" s="55"/>
      <c r="D18" s="55"/>
      <c r="E18" s="5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25">
      <c r="A19" s="233" t="s">
        <v>120</v>
      </c>
      <c r="B19" s="193"/>
      <c r="C19" s="49" t="s">
        <v>121</v>
      </c>
      <c r="D19" s="49" t="s">
        <v>122</v>
      </c>
      <c r="E19" s="49" t="s">
        <v>123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 x14ac:dyDescent="0.25">
      <c r="A20" s="56" t="s">
        <v>124</v>
      </c>
      <c r="B20" s="57">
        <v>12</v>
      </c>
      <c r="C20" s="58">
        <v>30</v>
      </c>
      <c r="D20" s="57">
        <v>0</v>
      </c>
      <c r="E20" s="50">
        <f>C20+D20</f>
        <v>30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 x14ac:dyDescent="0.25">
      <c r="A21" s="227" t="s">
        <v>125</v>
      </c>
      <c r="B21" s="192"/>
      <c r="C21" s="193"/>
      <c r="D21" s="59"/>
      <c r="E21" s="5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 x14ac:dyDescent="0.25">
      <c r="A22" s="59" t="s">
        <v>126</v>
      </c>
      <c r="B22" s="59"/>
      <c r="C22" s="60">
        <v>0.39650000000000002</v>
      </c>
      <c r="D22" s="59"/>
      <c r="E22" s="5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 x14ac:dyDescent="0.25">
      <c r="A23" s="56" t="s">
        <v>127</v>
      </c>
      <c r="B23" s="59"/>
      <c r="C23" s="60">
        <v>0.39650000000000002</v>
      </c>
      <c r="D23" s="59"/>
      <c r="E23" s="5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 x14ac:dyDescent="0.25">
      <c r="A24" s="228" t="s">
        <v>128</v>
      </c>
      <c r="B24" s="193"/>
      <c r="C24" s="60">
        <v>2.1600000000000001E-2</v>
      </c>
      <c r="D24" s="59"/>
      <c r="E24" s="59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 x14ac:dyDescent="0.25">
      <c r="A25" s="59" t="s">
        <v>129</v>
      </c>
      <c r="B25" s="59"/>
      <c r="C25" s="61">
        <f>(100%-(C22+C23+C24))</f>
        <v>0.18540000000000001</v>
      </c>
      <c r="D25" s="59"/>
      <c r="E25" s="5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 x14ac:dyDescent="0.25">
      <c r="A26" s="62"/>
      <c r="B26" s="63"/>
      <c r="C26" s="64"/>
      <c r="D26" s="63"/>
      <c r="E26" s="6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 x14ac:dyDescent="0.25">
      <c r="A27" s="234" t="s">
        <v>130</v>
      </c>
      <c r="B27" s="235"/>
      <c r="C27" s="235"/>
      <c r="D27" s="235"/>
      <c r="E27" s="23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 x14ac:dyDescent="0.25">
      <c r="A28" s="236" t="s">
        <v>106</v>
      </c>
      <c r="B28" s="236" t="s">
        <v>131</v>
      </c>
      <c r="C28" s="236" t="s">
        <v>132</v>
      </c>
      <c r="D28" s="238" t="s">
        <v>133</v>
      </c>
      <c r="E28" s="23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 x14ac:dyDescent="0.25">
      <c r="A29" s="237"/>
      <c r="B29" s="237"/>
      <c r="C29" s="237"/>
      <c r="D29" s="65" t="s">
        <v>134</v>
      </c>
      <c r="E29" s="65" t="s">
        <v>135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 x14ac:dyDescent="0.25">
      <c r="A30" s="66" t="s">
        <v>136</v>
      </c>
      <c r="B30" s="67">
        <v>1</v>
      </c>
      <c r="C30" s="67">
        <v>30</v>
      </c>
      <c r="D30" s="68">
        <v>0.69040000000000001</v>
      </c>
      <c r="E30" s="69">
        <v>20.712299999999999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25">
      <c r="A31" s="70" t="s">
        <v>137</v>
      </c>
      <c r="B31" s="67">
        <v>1</v>
      </c>
      <c r="C31" s="67">
        <v>1</v>
      </c>
      <c r="D31" s="68">
        <v>1</v>
      </c>
      <c r="E31" s="71">
        <v>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25">
      <c r="A32" s="70" t="s">
        <v>138</v>
      </c>
      <c r="B32" s="67">
        <v>9.2200000000000004E-2</v>
      </c>
      <c r="C32" s="67">
        <v>15</v>
      </c>
      <c r="D32" s="68">
        <v>0.69040000000000001</v>
      </c>
      <c r="E32" s="71">
        <v>1.7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 x14ac:dyDescent="0.25">
      <c r="A33" s="70" t="s">
        <v>139</v>
      </c>
      <c r="B33" s="67">
        <v>1</v>
      </c>
      <c r="C33" s="67">
        <v>5</v>
      </c>
      <c r="D33" s="68">
        <v>0.69040000000000001</v>
      </c>
      <c r="E33" s="69">
        <v>3.4521000000000002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25">
      <c r="A34" s="70" t="s">
        <v>140</v>
      </c>
      <c r="B34" s="67">
        <v>0.1522</v>
      </c>
      <c r="C34" s="67">
        <v>2</v>
      </c>
      <c r="D34" s="68">
        <v>1</v>
      </c>
      <c r="E34" s="69">
        <v>0.30630000000000002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 x14ac:dyDescent="0.25">
      <c r="A35" s="70" t="s">
        <v>141</v>
      </c>
      <c r="B35" s="67">
        <v>3.09E-2</v>
      </c>
      <c r="C35" s="67">
        <v>2</v>
      </c>
      <c r="D35" s="68">
        <v>0.69040000000000001</v>
      </c>
      <c r="E35" s="69">
        <v>4.1500000000000002E-2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 x14ac:dyDescent="0.25">
      <c r="A36" s="70" t="s">
        <v>142</v>
      </c>
      <c r="B36" s="67">
        <v>1.23E-2</v>
      </c>
      <c r="C36" s="67">
        <v>3</v>
      </c>
      <c r="D36" s="68">
        <v>1</v>
      </c>
      <c r="E36" s="69">
        <v>4.8899999999999999E-2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5">
      <c r="A37" s="70" t="s">
        <v>143</v>
      </c>
      <c r="B37" s="67">
        <v>0.02</v>
      </c>
      <c r="C37" s="67">
        <v>1</v>
      </c>
      <c r="D37" s="68">
        <v>1</v>
      </c>
      <c r="E37" s="71">
        <v>0.02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 x14ac:dyDescent="0.25">
      <c r="A38" s="72" t="s">
        <v>144</v>
      </c>
      <c r="B38" s="73">
        <v>4.0000000000000001E-3</v>
      </c>
      <c r="C38" s="73">
        <v>1</v>
      </c>
      <c r="D38" s="74">
        <v>1</v>
      </c>
      <c r="E38" s="75">
        <v>4.0000000000000001E-3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 x14ac:dyDescent="0.25">
      <c r="A39" s="76" t="s">
        <v>145</v>
      </c>
      <c r="B39" s="77">
        <v>3.2099999999999997E-2</v>
      </c>
      <c r="C39" s="77">
        <v>5</v>
      </c>
      <c r="D39" s="78">
        <v>0.69040000000000001</v>
      </c>
      <c r="E39" s="79">
        <v>0.06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 x14ac:dyDescent="0.25">
      <c r="A40" s="70" t="s">
        <v>146</v>
      </c>
      <c r="B40" s="67">
        <v>2.8E-3</v>
      </c>
      <c r="C40" s="67">
        <v>180</v>
      </c>
      <c r="D40" s="68">
        <v>0.69040000000000001</v>
      </c>
      <c r="E40" s="71">
        <v>3.282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 x14ac:dyDescent="0.25">
      <c r="A41" s="72" t="s">
        <v>147</v>
      </c>
      <c r="B41" s="73">
        <v>2.0000000000000001E-4</v>
      </c>
      <c r="C41" s="73">
        <v>6</v>
      </c>
      <c r="D41" s="74">
        <v>1</v>
      </c>
      <c r="E41" s="80">
        <v>1.32E-2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 x14ac:dyDescent="0.25">
      <c r="A42" s="225" t="s">
        <v>26</v>
      </c>
      <c r="B42" s="192"/>
      <c r="C42" s="192"/>
      <c r="D42" s="193"/>
      <c r="E42" s="81">
        <f>SUM(E30:E41)</f>
        <v>30.6403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5">
      <c r="A43" s="226" t="s">
        <v>148</v>
      </c>
      <c r="B43" s="192"/>
      <c r="C43" s="192"/>
      <c r="D43" s="193"/>
      <c r="E43" s="8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 x14ac:dyDescent="0.25">
      <c r="A44" s="83" t="s">
        <v>149</v>
      </c>
      <c r="B44" s="84">
        <v>44652</v>
      </c>
      <c r="C44" s="49"/>
      <c r="D44" s="49"/>
      <c r="E44" s="8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 x14ac:dyDescent="0.25">
      <c r="A45" s="83" t="s">
        <v>150</v>
      </c>
      <c r="B45" s="85">
        <v>45016</v>
      </c>
      <c r="C45" s="49"/>
      <c r="D45" s="49"/>
      <c r="E45" s="8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 x14ac:dyDescent="0.25">
      <c r="A46" s="59" t="s">
        <v>151</v>
      </c>
      <c r="B46" s="56"/>
      <c r="C46" s="56"/>
      <c r="D46" s="86">
        <v>12</v>
      </c>
      <c r="E46" s="87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 x14ac:dyDescent="0.25">
      <c r="A47" s="227" t="s">
        <v>152</v>
      </c>
      <c r="B47" s="192"/>
      <c r="C47" s="193"/>
      <c r="D47" s="86">
        <v>254</v>
      </c>
      <c r="E47" s="8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5">
      <c r="A48" s="228" t="s">
        <v>153</v>
      </c>
      <c r="B48" s="192"/>
      <c r="C48" s="193"/>
      <c r="D48" s="86">
        <f>D47/12</f>
        <v>21.166666666666668</v>
      </c>
      <c r="E48" s="87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5">
      <c r="A49" s="88" t="s">
        <v>154</v>
      </c>
      <c r="B49" s="89" t="s">
        <v>155</v>
      </c>
      <c r="C49" s="89" t="s">
        <v>156</v>
      </c>
      <c r="D49" s="90"/>
      <c r="E49" s="87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5">
      <c r="A50" s="89"/>
      <c r="B50" s="89">
        <v>8</v>
      </c>
      <c r="C50" s="89">
        <v>200</v>
      </c>
      <c r="D50" s="90"/>
      <c r="E50" s="91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</row>
    <row r="51" spans="1:25" ht="15.75" customHeight="1" x14ac:dyDescent="0.25">
      <c r="A51" s="92"/>
      <c r="B51" s="92"/>
      <c r="C51" s="92"/>
      <c r="D51" s="93"/>
      <c r="E51" s="87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5">
      <c r="A53" s="210" t="s">
        <v>233</v>
      </c>
      <c r="B53" s="192"/>
      <c r="C53" s="192"/>
      <c r="D53" s="192"/>
      <c r="E53" s="19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5">
      <c r="A54" s="95"/>
      <c r="B54" s="95"/>
      <c r="C54" s="95"/>
      <c r="D54" s="95"/>
      <c r="E54" s="9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5">
      <c r="A55" s="229" t="s">
        <v>157</v>
      </c>
      <c r="B55" s="192"/>
      <c r="C55" s="192"/>
      <c r="D55" s="192"/>
      <c r="E55" s="19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5">
      <c r="A56" s="94"/>
      <c r="B56" s="96"/>
      <c r="C56" s="97" t="s">
        <v>158</v>
      </c>
      <c r="D56" s="98" t="s">
        <v>42</v>
      </c>
      <c r="E56" s="98" t="s">
        <v>58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5">
      <c r="A57" s="99" t="s">
        <v>159</v>
      </c>
      <c r="B57" s="100"/>
      <c r="C57" s="101">
        <f>C50</f>
        <v>200</v>
      </c>
      <c r="D57" s="102"/>
      <c r="E57" s="103">
        <f>(C11/220)*C57</f>
        <v>1194.6272727272726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5">
      <c r="A58" s="230" t="s">
        <v>160</v>
      </c>
      <c r="B58" s="192"/>
      <c r="C58" s="193"/>
      <c r="D58" s="104">
        <v>0.2</v>
      </c>
      <c r="E58" s="103">
        <f>C11*D58</f>
        <v>262.81799999999998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5">
      <c r="A59" s="230" t="s">
        <v>161</v>
      </c>
      <c r="B59" s="192"/>
      <c r="C59" s="193"/>
      <c r="D59" s="102"/>
      <c r="E59" s="103"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5">
      <c r="A60" s="209" t="s">
        <v>162</v>
      </c>
      <c r="B60" s="192"/>
      <c r="C60" s="192"/>
      <c r="D60" s="193"/>
      <c r="E60" s="106">
        <f>SUM(E57:E59)</f>
        <v>1457.4452727272726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5">
      <c r="A61" s="1"/>
      <c r="B61" s="1"/>
      <c r="C61" s="1"/>
      <c r="D61" s="1"/>
      <c r="E61" s="1"/>
      <c r="F61" s="1"/>
      <c r="G61" s="107"/>
      <c r="H61" s="1"/>
      <c r="I61" s="108"/>
      <c r="J61" s="1"/>
      <c r="K61" s="108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5">
      <c r="A62" s="210" t="s">
        <v>163</v>
      </c>
      <c r="B62" s="192"/>
      <c r="C62" s="192"/>
      <c r="D62" s="192"/>
      <c r="E62" s="193"/>
      <c r="F62" s="10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5">
      <c r="A63" s="224" t="s">
        <v>164</v>
      </c>
      <c r="B63" s="192"/>
      <c r="C63" s="192"/>
      <c r="D63" s="192"/>
      <c r="E63" s="19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5">
      <c r="A64" s="210"/>
      <c r="B64" s="192"/>
      <c r="C64" s="193"/>
      <c r="D64" s="98" t="s">
        <v>42</v>
      </c>
      <c r="E64" s="98" t="s">
        <v>58</v>
      </c>
      <c r="F64" s="109"/>
      <c r="G64" s="1"/>
      <c r="H64" s="1"/>
      <c r="I64" s="1"/>
      <c r="J64" s="1"/>
      <c r="K64" s="108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5">
      <c r="A65" s="213" t="s">
        <v>165</v>
      </c>
      <c r="B65" s="192"/>
      <c r="C65" s="193"/>
      <c r="D65" s="110">
        <v>8.3333299999999999E-2</v>
      </c>
      <c r="E65" s="103">
        <f>E60*D65</f>
        <v>121.45372414576363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5">
      <c r="A66" s="202" t="s">
        <v>166</v>
      </c>
      <c r="B66" s="192"/>
      <c r="C66" s="193"/>
      <c r="D66" s="110">
        <v>0.33329999999999999</v>
      </c>
      <c r="E66" s="103">
        <f>(E60*D66)/12</f>
        <v>40.480542449999994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5">
      <c r="A67" s="202" t="s">
        <v>136</v>
      </c>
      <c r="B67" s="192"/>
      <c r="C67" s="193"/>
      <c r="D67" s="110">
        <v>8.3333000000000004E-2</v>
      </c>
      <c r="E67" s="103">
        <f>E60*D67</f>
        <v>121.45328691218181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 x14ac:dyDescent="0.25">
      <c r="A68" s="209" t="s">
        <v>26</v>
      </c>
      <c r="B68" s="192"/>
      <c r="C68" s="192"/>
      <c r="D68" s="193"/>
      <c r="E68" s="106">
        <f>SUM(E65:E67)</f>
        <v>283.38755350794543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 x14ac:dyDescent="0.25">
      <c r="A69" s="111"/>
      <c r="B69" s="111"/>
      <c r="C69" s="111"/>
      <c r="D69" s="111"/>
      <c r="E69" s="11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 x14ac:dyDescent="0.25">
      <c r="A70" s="224" t="s">
        <v>167</v>
      </c>
      <c r="B70" s="192"/>
      <c r="C70" s="192"/>
      <c r="D70" s="192"/>
      <c r="E70" s="19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 x14ac:dyDescent="0.25">
      <c r="A71" s="202" t="s">
        <v>168</v>
      </c>
      <c r="B71" s="193"/>
      <c r="C71" s="112">
        <f>E60+E68</f>
        <v>1740.8328262352179</v>
      </c>
      <c r="D71" s="98" t="s">
        <v>42</v>
      </c>
      <c r="E71" s="98" t="s">
        <v>58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 x14ac:dyDescent="0.25">
      <c r="A72" s="202" t="s">
        <v>169</v>
      </c>
      <c r="B72" s="192"/>
      <c r="C72" s="193"/>
      <c r="D72" s="110">
        <v>0.2</v>
      </c>
      <c r="E72" s="113">
        <f t="shared" ref="E72:E73" si="0">$C$71*D72</f>
        <v>348.16656524704359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 x14ac:dyDescent="0.25">
      <c r="A73" s="202" t="s">
        <v>170</v>
      </c>
      <c r="B73" s="192"/>
      <c r="C73" s="193"/>
      <c r="D73" s="114">
        <v>0.03</v>
      </c>
      <c r="E73" s="113">
        <f t="shared" si="0"/>
        <v>52.224984787056535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 x14ac:dyDescent="0.25">
      <c r="A74" s="202" t="s">
        <v>171</v>
      </c>
      <c r="B74" s="192"/>
      <c r="C74" s="193"/>
      <c r="D74" s="114">
        <v>2.5000000000000001E-2</v>
      </c>
      <c r="E74" s="11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 x14ac:dyDescent="0.25">
      <c r="A75" s="202" t="s">
        <v>172</v>
      </c>
      <c r="B75" s="192"/>
      <c r="C75" s="193"/>
      <c r="D75" s="114">
        <v>1.4999999999999999E-2</v>
      </c>
      <c r="E75" s="11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 x14ac:dyDescent="0.25">
      <c r="A76" s="202" t="s">
        <v>173</v>
      </c>
      <c r="B76" s="192"/>
      <c r="C76" s="193"/>
      <c r="D76" s="115">
        <v>0.01</v>
      </c>
      <c r="E76" s="11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 x14ac:dyDescent="0.25">
      <c r="A77" s="202" t="s">
        <v>174</v>
      </c>
      <c r="B77" s="192"/>
      <c r="C77" s="193"/>
      <c r="D77" s="115">
        <v>6.0000000000000001E-3</v>
      </c>
      <c r="E77" s="11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 x14ac:dyDescent="0.25">
      <c r="A78" s="202" t="s">
        <v>175</v>
      </c>
      <c r="B78" s="192"/>
      <c r="C78" s="193"/>
      <c r="D78" s="115">
        <v>2E-3</v>
      </c>
      <c r="E78" s="11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 x14ac:dyDescent="0.25">
      <c r="A79" s="209" t="s">
        <v>176</v>
      </c>
      <c r="B79" s="192"/>
      <c r="C79" s="193"/>
      <c r="D79" s="116">
        <f t="shared" ref="D79:E79" si="1">SUM(D72:D78)</f>
        <v>0.28800000000000003</v>
      </c>
      <c r="E79" s="117">
        <f t="shared" si="1"/>
        <v>400.39155003410013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 x14ac:dyDescent="0.25">
      <c r="A80" s="202" t="s">
        <v>177</v>
      </c>
      <c r="B80" s="192"/>
      <c r="C80" s="193"/>
      <c r="D80" s="118">
        <v>0.08</v>
      </c>
      <c r="E80" s="113">
        <f>C71*D80</f>
        <v>139.26662609881743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 x14ac:dyDescent="0.25">
      <c r="A81" s="209" t="s">
        <v>26</v>
      </c>
      <c r="B81" s="192"/>
      <c r="C81" s="193"/>
      <c r="D81" s="116">
        <f t="shared" ref="D81:E81" si="2">SUM(D79:D80)</f>
        <v>0.36800000000000005</v>
      </c>
      <c r="E81" s="117">
        <f t="shared" si="2"/>
        <v>539.65817613291756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 x14ac:dyDescent="0.25">
      <c r="A82" s="111"/>
      <c r="B82" s="111"/>
      <c r="C82" s="111"/>
      <c r="D82" s="111"/>
      <c r="E82" s="11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 x14ac:dyDescent="0.25">
      <c r="A83" s="224" t="s">
        <v>178</v>
      </c>
      <c r="B83" s="192"/>
      <c r="C83" s="192"/>
      <c r="D83" s="192"/>
      <c r="E83" s="19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 x14ac:dyDescent="0.25">
      <c r="A84" s="244"/>
      <c r="B84" s="192"/>
      <c r="C84" s="192"/>
      <c r="D84" s="193"/>
      <c r="E84" s="98" t="s">
        <v>58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 x14ac:dyDescent="0.25">
      <c r="A85" s="202" t="s">
        <v>179</v>
      </c>
      <c r="B85" s="192"/>
      <c r="C85" s="192"/>
      <c r="D85" s="193"/>
      <c r="E85" s="119">
        <f>((D15*C15)*D48)-(E57*E15)</f>
        <v>146.33903030303031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 x14ac:dyDescent="0.25">
      <c r="A86" s="202" t="s">
        <v>180</v>
      </c>
      <c r="B86" s="192"/>
      <c r="C86" s="192"/>
      <c r="D86" s="193"/>
      <c r="E86" s="119">
        <f>((C13*D13)*D48)-(((C13*D13)*D48)*E13)</f>
        <v>345.98610000000002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 x14ac:dyDescent="0.25">
      <c r="A87" s="202" t="s">
        <v>181</v>
      </c>
      <c r="B87" s="192"/>
      <c r="C87" s="192"/>
      <c r="D87" s="193"/>
      <c r="E87" s="119">
        <f>D16</f>
        <v>17.32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 x14ac:dyDescent="0.25">
      <c r="A88" s="202" t="s">
        <v>182</v>
      </c>
      <c r="B88" s="192"/>
      <c r="C88" s="192"/>
      <c r="D88" s="193"/>
      <c r="E88" s="12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 x14ac:dyDescent="0.25">
      <c r="A89" s="202" t="s">
        <v>161</v>
      </c>
      <c r="B89" s="192"/>
      <c r="C89" s="192"/>
      <c r="D89" s="193"/>
      <c r="E89" s="12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 x14ac:dyDescent="0.25">
      <c r="A90" s="209" t="s">
        <v>26</v>
      </c>
      <c r="B90" s="192"/>
      <c r="C90" s="192"/>
      <c r="D90" s="193"/>
      <c r="E90" s="121">
        <f>SUM(E85:E89)</f>
        <v>509.64513030303033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 x14ac:dyDescent="0.25">
      <c r="A91" s="122"/>
      <c r="B91" s="122"/>
      <c r="C91" s="122"/>
      <c r="D91" s="122"/>
      <c r="E91" s="12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 x14ac:dyDescent="0.25">
      <c r="A92" s="210" t="s">
        <v>183</v>
      </c>
      <c r="B92" s="192"/>
      <c r="C92" s="192"/>
      <c r="D92" s="192"/>
      <c r="E92" s="19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 x14ac:dyDescent="0.25">
      <c r="A93" s="210"/>
      <c r="B93" s="192"/>
      <c r="C93" s="192"/>
      <c r="D93" s="193"/>
      <c r="E93" s="98" t="s">
        <v>58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 x14ac:dyDescent="0.25">
      <c r="A94" s="202" t="s">
        <v>164</v>
      </c>
      <c r="B94" s="192"/>
      <c r="C94" s="192"/>
      <c r="D94" s="193"/>
      <c r="E94" s="124">
        <f>E68</f>
        <v>283.38755350794543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 x14ac:dyDescent="0.25">
      <c r="A95" s="202" t="s">
        <v>184</v>
      </c>
      <c r="B95" s="192"/>
      <c r="C95" s="192"/>
      <c r="D95" s="193"/>
      <c r="E95" s="124">
        <f>E81</f>
        <v>539.65817613291756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 x14ac:dyDescent="0.25">
      <c r="A96" s="202" t="s">
        <v>178</v>
      </c>
      <c r="B96" s="192"/>
      <c r="C96" s="192"/>
      <c r="D96" s="193"/>
      <c r="E96" s="124">
        <f>E90</f>
        <v>509.64513030303033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 x14ac:dyDescent="0.25">
      <c r="A97" s="209" t="s">
        <v>185</v>
      </c>
      <c r="B97" s="192"/>
      <c r="C97" s="192"/>
      <c r="D97" s="193"/>
      <c r="E97" s="125">
        <f>SUM(E94:E96)</f>
        <v>1332.6908599438934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 x14ac:dyDescent="0.25">
      <c r="A98" s="111"/>
      <c r="B98" s="111"/>
      <c r="C98" s="111"/>
      <c r="D98" s="111"/>
      <c r="E98" s="11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 x14ac:dyDescent="0.25">
      <c r="A99" s="210" t="s">
        <v>186</v>
      </c>
      <c r="B99" s="192"/>
      <c r="C99" s="192"/>
      <c r="D99" s="192"/>
      <c r="E99" s="19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 x14ac:dyDescent="0.25">
      <c r="A100" s="94"/>
      <c r="B100" s="96"/>
      <c r="C100" s="96"/>
      <c r="D100" s="96"/>
      <c r="E100" s="126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 x14ac:dyDescent="0.25">
      <c r="A101" s="215" t="s">
        <v>187</v>
      </c>
      <c r="B101" s="192"/>
      <c r="C101" s="193"/>
      <c r="D101" s="127" t="s">
        <v>42</v>
      </c>
      <c r="E101" s="128" t="s">
        <v>58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 x14ac:dyDescent="0.25">
      <c r="A102" s="202" t="s">
        <v>188</v>
      </c>
      <c r="B102" s="192"/>
      <c r="C102" s="193"/>
      <c r="D102" s="129"/>
      <c r="E102" s="130">
        <f>((((E60+E68+E80+E90)/C20)*E20)/B20)*C22</f>
        <v>78.961143917966382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 x14ac:dyDescent="0.25">
      <c r="A103" s="216" t="s">
        <v>189</v>
      </c>
      <c r="B103" s="192"/>
      <c r="C103" s="193"/>
      <c r="D103" s="131">
        <v>0.08</v>
      </c>
      <c r="E103" s="132">
        <f>E102*D103</f>
        <v>6.3168915134373105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 x14ac:dyDescent="0.25">
      <c r="A104" s="216" t="s">
        <v>190</v>
      </c>
      <c r="B104" s="192"/>
      <c r="C104" s="193"/>
      <c r="D104" s="131">
        <v>0.4</v>
      </c>
      <c r="E104" s="132">
        <f>(((((E60+E68)/C20)*E20)*D103)*D104)*C22</f>
        <v>22.087686899272448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 x14ac:dyDescent="0.25">
      <c r="A105" s="217" t="s">
        <v>191</v>
      </c>
      <c r="B105" s="192"/>
      <c r="C105" s="193"/>
      <c r="D105" s="133"/>
      <c r="E105" s="134">
        <f>SUM(E102:E104)</f>
        <v>107.36572233067614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 x14ac:dyDescent="0.25">
      <c r="A106" s="135"/>
      <c r="B106" s="135"/>
      <c r="C106" s="135"/>
      <c r="D106" s="136"/>
      <c r="E106" s="13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 x14ac:dyDescent="0.25">
      <c r="A107" s="215" t="s">
        <v>192</v>
      </c>
      <c r="B107" s="192"/>
      <c r="C107" s="193"/>
      <c r="D107" s="133"/>
      <c r="E107" s="1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 x14ac:dyDescent="0.25">
      <c r="A108" s="202" t="s">
        <v>193</v>
      </c>
      <c r="B108" s="192"/>
      <c r="C108" s="193"/>
      <c r="D108" s="129"/>
      <c r="E108" s="132">
        <f>((((E60+E97)/C20)*7)/B20)*C23</f>
        <v>21.511174545080056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 x14ac:dyDescent="0.25">
      <c r="A109" s="216" t="s">
        <v>194</v>
      </c>
      <c r="B109" s="192"/>
      <c r="C109" s="193"/>
      <c r="D109" s="118">
        <f>D81</f>
        <v>0.36800000000000005</v>
      </c>
      <c r="E109" s="132">
        <f>E108*D109</f>
        <v>7.9161122325894615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 x14ac:dyDescent="0.25">
      <c r="A110" s="216" t="s">
        <v>195</v>
      </c>
      <c r="B110" s="192"/>
      <c r="C110" s="193"/>
      <c r="D110" s="129"/>
      <c r="E110" s="132">
        <f>(((((E60+E68)/C20)*E20)*D103)*D104)*C23</f>
        <v>22.087686899272448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 x14ac:dyDescent="0.25">
      <c r="A111" s="217" t="s">
        <v>196</v>
      </c>
      <c r="B111" s="192"/>
      <c r="C111" s="193"/>
      <c r="D111" s="3"/>
      <c r="E111" s="134">
        <f>SUM(E108:E110)</f>
        <v>51.514973676941963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 x14ac:dyDescent="0.25">
      <c r="A112" s="135"/>
      <c r="B112" s="135"/>
      <c r="C112" s="135"/>
      <c r="D112" s="111"/>
      <c r="E112" s="13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 x14ac:dyDescent="0.25">
      <c r="A113" s="218" t="s">
        <v>197</v>
      </c>
      <c r="B113" s="192"/>
      <c r="C113" s="193"/>
      <c r="D113" s="102"/>
      <c r="E113" s="126" t="s">
        <v>58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 x14ac:dyDescent="0.25">
      <c r="A114" s="208" t="s">
        <v>198</v>
      </c>
      <c r="B114" s="192"/>
      <c r="C114" s="193"/>
      <c r="D114" s="102"/>
      <c r="E114" s="138">
        <f>-E68*C24</f>
        <v>-6.1211711557716217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 x14ac:dyDescent="0.25">
      <c r="A115" s="219" t="s">
        <v>199</v>
      </c>
      <c r="B115" s="192"/>
      <c r="C115" s="193"/>
      <c r="D115" s="140"/>
      <c r="E115" s="141">
        <f>SUM(E114)</f>
        <v>-6.1211711557716217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 x14ac:dyDescent="0.25">
      <c r="A116" s="139"/>
      <c r="B116" s="142"/>
      <c r="C116" s="143"/>
      <c r="D116" s="140"/>
      <c r="E116" s="14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 x14ac:dyDescent="0.25">
      <c r="A117" s="220" t="s">
        <v>200</v>
      </c>
      <c r="B117" s="192"/>
      <c r="C117" s="192"/>
      <c r="D117" s="193"/>
      <c r="E117" s="126" t="s">
        <v>58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 x14ac:dyDescent="0.25">
      <c r="A118" s="202" t="s">
        <v>187</v>
      </c>
      <c r="B118" s="192"/>
      <c r="C118" s="192"/>
      <c r="D118" s="193"/>
      <c r="E118" s="145">
        <f>E105</f>
        <v>107.36572233067614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 x14ac:dyDescent="0.25">
      <c r="A119" s="202" t="s">
        <v>192</v>
      </c>
      <c r="B119" s="192"/>
      <c r="C119" s="192"/>
      <c r="D119" s="193"/>
      <c r="E119" s="145">
        <f>E111</f>
        <v>51.514973676941963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 x14ac:dyDescent="0.25">
      <c r="A120" s="216" t="s">
        <v>197</v>
      </c>
      <c r="B120" s="192"/>
      <c r="C120" s="192"/>
      <c r="D120" s="193"/>
      <c r="E120" s="141">
        <f>E115</f>
        <v>-6.1211711557716217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 x14ac:dyDescent="0.25">
      <c r="A121" s="209" t="s">
        <v>201</v>
      </c>
      <c r="B121" s="192"/>
      <c r="C121" s="193"/>
      <c r="D121" s="102"/>
      <c r="E121" s="146">
        <f>SUM(E118:E120)</f>
        <v>152.75952485184646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 x14ac:dyDescent="0.25">
      <c r="A122" s="111"/>
      <c r="B122" s="111"/>
      <c r="C122" s="111"/>
      <c r="D122" s="111"/>
      <c r="E122" s="11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 x14ac:dyDescent="0.25">
      <c r="A123" s="210" t="s">
        <v>202</v>
      </c>
      <c r="B123" s="192"/>
      <c r="C123" s="192"/>
      <c r="D123" s="192"/>
      <c r="E123" s="19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 x14ac:dyDescent="0.25">
      <c r="A124" s="224" t="s">
        <v>203</v>
      </c>
      <c r="B124" s="192"/>
      <c r="C124" s="192"/>
      <c r="D124" s="192"/>
      <c r="E124" s="19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 x14ac:dyDescent="0.25">
      <c r="A125" s="210" t="s">
        <v>204</v>
      </c>
      <c r="B125" s="193"/>
      <c r="C125" s="147">
        <f>(E60+E97+E121)/D48</f>
        <v>139.03444051289821</v>
      </c>
      <c r="D125" s="148" t="s">
        <v>205</v>
      </c>
      <c r="E125" s="98" t="s">
        <v>58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 x14ac:dyDescent="0.25">
      <c r="A126" s="208" t="s">
        <v>136</v>
      </c>
      <c r="B126" s="192"/>
      <c r="C126" s="193"/>
      <c r="D126" s="149"/>
      <c r="E126" s="150">
        <f>(C125*D126)/12</f>
        <v>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 x14ac:dyDescent="0.25">
      <c r="A127" s="208" t="s">
        <v>137</v>
      </c>
      <c r="B127" s="192"/>
      <c r="C127" s="193"/>
      <c r="D127" s="149">
        <v>1</v>
      </c>
      <c r="E127" s="150">
        <f>(C125*D127)/12</f>
        <v>11.586203376074851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 x14ac:dyDescent="0.25">
      <c r="A128" s="208" t="s">
        <v>138</v>
      </c>
      <c r="B128" s="192"/>
      <c r="C128" s="193"/>
      <c r="D128" s="149">
        <v>1.7</v>
      </c>
      <c r="E128" s="150">
        <f>(C125*D128)/12</f>
        <v>19.696545739327245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 x14ac:dyDescent="0.25">
      <c r="A129" s="208" t="s">
        <v>139</v>
      </c>
      <c r="B129" s="192"/>
      <c r="C129" s="193"/>
      <c r="D129" s="149">
        <v>3.4521000000000002</v>
      </c>
      <c r="E129" s="150">
        <f>(C125*D129)/12</f>
        <v>39.996732674547992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 x14ac:dyDescent="0.25">
      <c r="A130" s="208" t="s">
        <v>140</v>
      </c>
      <c r="B130" s="192"/>
      <c r="C130" s="193"/>
      <c r="D130" s="149">
        <v>0.30630000000000002</v>
      </c>
      <c r="E130" s="150">
        <f>(C125*D130)/12</f>
        <v>3.5488540940917273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 x14ac:dyDescent="0.25">
      <c r="A131" s="208" t="s">
        <v>141</v>
      </c>
      <c r="B131" s="192"/>
      <c r="C131" s="193"/>
      <c r="D131" s="149">
        <v>4.1500000000000002E-2</v>
      </c>
      <c r="E131" s="150">
        <f>(C125*D131)/12</f>
        <v>0.48082744010710637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 x14ac:dyDescent="0.25">
      <c r="A132" s="208" t="s">
        <v>142</v>
      </c>
      <c r="B132" s="192"/>
      <c r="C132" s="193"/>
      <c r="D132" s="149">
        <v>4.8899999999999999E-2</v>
      </c>
      <c r="E132" s="150">
        <f>(C125*D132)/12</f>
        <v>0.56656534509006018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 x14ac:dyDescent="0.25">
      <c r="A133" s="208" t="s">
        <v>143</v>
      </c>
      <c r="B133" s="192"/>
      <c r="C133" s="193"/>
      <c r="D133" s="149">
        <v>0.02</v>
      </c>
      <c r="E133" s="150">
        <f>(C125*D133)/12</f>
        <v>0.23172406752149702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 x14ac:dyDescent="0.25">
      <c r="A134" s="208" t="s">
        <v>144</v>
      </c>
      <c r="B134" s="192"/>
      <c r="C134" s="193"/>
      <c r="D134" s="149">
        <v>4.0000000000000001E-3</v>
      </c>
      <c r="E134" s="150">
        <f>(C125*D134)/12</f>
        <v>4.6344813504299399E-2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 x14ac:dyDescent="0.25">
      <c r="A135" s="208" t="s">
        <v>145</v>
      </c>
      <c r="B135" s="192"/>
      <c r="C135" s="193"/>
      <c r="D135" s="149">
        <v>0.06</v>
      </c>
      <c r="E135" s="150">
        <f>(C125*D135)/12</f>
        <v>0.69517220256449097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 x14ac:dyDescent="0.25">
      <c r="A136" s="208" t="s">
        <v>146</v>
      </c>
      <c r="B136" s="192"/>
      <c r="C136" s="193"/>
      <c r="D136" s="149">
        <v>3.282</v>
      </c>
      <c r="E136" s="150">
        <f>(C125*D136)/12</f>
        <v>38.025919480277658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 x14ac:dyDescent="0.25">
      <c r="A137" s="208" t="s">
        <v>147</v>
      </c>
      <c r="B137" s="192"/>
      <c r="C137" s="193"/>
      <c r="D137" s="149">
        <v>1.32E-2</v>
      </c>
      <c r="E137" s="150">
        <f>(C125*D137)/12</f>
        <v>0.15293788456418803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 x14ac:dyDescent="0.25">
      <c r="A138" s="209" t="s">
        <v>34</v>
      </c>
      <c r="B138" s="192"/>
      <c r="C138" s="193"/>
      <c r="D138" s="151">
        <f t="shared" ref="D138:E138" si="3">SUM(D126:D137)</f>
        <v>9.927999999999999</v>
      </c>
      <c r="E138" s="125">
        <f t="shared" si="3"/>
        <v>115.02782711767111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 x14ac:dyDescent="0.25">
      <c r="A139" s="105"/>
      <c r="B139" s="152"/>
      <c r="C139" s="152"/>
      <c r="D139" s="153"/>
      <c r="E139" s="15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 x14ac:dyDescent="0.25">
      <c r="A140" s="210" t="s">
        <v>206</v>
      </c>
      <c r="B140" s="192"/>
      <c r="C140" s="192"/>
      <c r="D140" s="192"/>
      <c r="E140" s="19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 x14ac:dyDescent="0.25">
      <c r="A141" s="211" t="s">
        <v>1</v>
      </c>
      <c r="B141" s="192"/>
      <c r="C141" s="192"/>
      <c r="D141" s="193"/>
      <c r="E141" s="98" t="s">
        <v>58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 x14ac:dyDescent="0.25">
      <c r="A142" s="212" t="str">
        <f>EPIs_Equipamentos_Combustíveis_!A2</f>
        <v>5.1 - Uniformes/EPIs</v>
      </c>
      <c r="B142" s="192"/>
      <c r="C142" s="192"/>
      <c r="D142" s="193"/>
      <c r="E142" s="155">
        <v>265.81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 x14ac:dyDescent="0.25">
      <c r="A143" s="198" t="str">
        <f>EPIs_Equipamentos_Combustíveis_!A18</f>
        <v>5.2. Combustíveis e manutenção roçadeiras</v>
      </c>
      <c r="B143" s="192"/>
      <c r="C143" s="192"/>
      <c r="D143" s="193"/>
      <c r="E143" s="155">
        <f>EPIs_Equipamentos_Combustíveis_!F24</f>
        <v>1211.8344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 x14ac:dyDescent="0.25">
      <c r="A144" s="198" t="str">
        <f>EPIs_Equipamentos_Combustíveis_!A28</f>
        <v>5.3. Veículos</v>
      </c>
      <c r="B144" s="192"/>
      <c r="C144" s="192"/>
      <c r="D144" s="193"/>
      <c r="E144" s="155">
        <f>EPIs_Equipamentos_Combustíveis_!F96</f>
        <v>2581.0419479166667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 x14ac:dyDescent="0.25">
      <c r="A145" s="209" t="s">
        <v>207</v>
      </c>
      <c r="B145" s="192"/>
      <c r="C145" s="192"/>
      <c r="D145" s="193"/>
      <c r="E145" s="125">
        <f>SUM(E142:E144)</f>
        <v>4058.6863479166668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 x14ac:dyDescent="0.25">
      <c r="A146" s="122"/>
      <c r="B146" s="122"/>
      <c r="C146" s="122"/>
      <c r="D146" s="122"/>
      <c r="E146" s="156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 x14ac:dyDescent="0.25">
      <c r="A147" s="210" t="s">
        <v>208</v>
      </c>
      <c r="B147" s="192"/>
      <c r="C147" s="192"/>
      <c r="D147" s="193"/>
      <c r="E147" s="98" t="s">
        <v>58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 x14ac:dyDescent="0.25">
      <c r="A148" s="202" t="s">
        <v>209</v>
      </c>
      <c r="B148" s="192"/>
      <c r="C148" s="192"/>
      <c r="D148" s="193"/>
      <c r="E148" s="155">
        <f>E60</f>
        <v>1457.4452727272726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 x14ac:dyDescent="0.25">
      <c r="A149" s="202" t="s">
        <v>210</v>
      </c>
      <c r="B149" s="192"/>
      <c r="C149" s="192"/>
      <c r="D149" s="193"/>
      <c r="E149" s="155">
        <f>E97</f>
        <v>1332.6908599438934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 x14ac:dyDescent="0.25">
      <c r="A150" s="202" t="s">
        <v>211</v>
      </c>
      <c r="B150" s="192"/>
      <c r="C150" s="192"/>
      <c r="D150" s="193"/>
      <c r="E150" s="155">
        <f>E121</f>
        <v>152.75952485184646</v>
      </c>
      <c r="F150" s="1"/>
      <c r="G150" s="1"/>
      <c r="H150" s="1"/>
      <c r="I150" s="30"/>
      <c r="J150" s="30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 x14ac:dyDescent="0.25">
      <c r="A151" s="202" t="s">
        <v>212</v>
      </c>
      <c r="B151" s="192"/>
      <c r="C151" s="192"/>
      <c r="D151" s="193"/>
      <c r="E151" s="155">
        <f>E138</f>
        <v>115.02782711767111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 x14ac:dyDescent="0.25">
      <c r="A152" s="202" t="s">
        <v>213</v>
      </c>
      <c r="B152" s="192"/>
      <c r="C152" s="192"/>
      <c r="D152" s="193"/>
      <c r="E152" s="155">
        <f>E145</f>
        <v>4058.6863479166668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 x14ac:dyDescent="0.25">
      <c r="A153" s="209" t="s">
        <v>207</v>
      </c>
      <c r="B153" s="192"/>
      <c r="C153" s="192"/>
      <c r="D153" s="193"/>
      <c r="E153" s="157">
        <f>SUM(E148:E152)</f>
        <v>7116.6098325573503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 x14ac:dyDescent="0.25">
      <c r="A155" s="210" t="s">
        <v>214</v>
      </c>
      <c r="B155" s="192"/>
      <c r="C155" s="192"/>
      <c r="D155" s="192"/>
      <c r="E155" s="19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 x14ac:dyDescent="0.25">
      <c r="A156" s="213"/>
      <c r="B156" s="193"/>
      <c r="C156" s="98" t="s">
        <v>215</v>
      </c>
      <c r="D156" s="98" t="s">
        <v>216</v>
      </c>
      <c r="E156" s="98" t="s">
        <v>58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 x14ac:dyDescent="0.25">
      <c r="A157" s="202" t="s">
        <v>217</v>
      </c>
      <c r="B157" s="193"/>
      <c r="C157" s="112">
        <f>E153</f>
        <v>7116.6098325573503</v>
      </c>
      <c r="D157" s="158">
        <v>0.05</v>
      </c>
      <c r="E157" s="112">
        <f t="shared" ref="E157:E158" si="4">C157*D157</f>
        <v>355.83049162786756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 x14ac:dyDescent="0.25">
      <c r="A158" s="202" t="s">
        <v>218</v>
      </c>
      <c r="B158" s="193"/>
      <c r="C158" s="112">
        <f>E153+E157</f>
        <v>7472.4403241852178</v>
      </c>
      <c r="D158" s="158">
        <v>0.1</v>
      </c>
      <c r="E158" s="112">
        <f t="shared" si="4"/>
        <v>747.24403241852178</v>
      </c>
      <c r="F158" s="1"/>
      <c r="G158" s="159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 x14ac:dyDescent="0.25">
      <c r="A159" s="224" t="s">
        <v>219</v>
      </c>
      <c r="B159" s="192"/>
      <c r="C159" s="192"/>
      <c r="D159" s="192"/>
      <c r="E159" s="19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 x14ac:dyDescent="0.25">
      <c r="A160" s="202" t="s">
        <v>220</v>
      </c>
      <c r="B160" s="193"/>
      <c r="C160" s="155">
        <f>(C158+E158)/((100-D163)/100)</f>
        <v>8225.392779192498</v>
      </c>
      <c r="D160" s="114">
        <v>7.0000000000000001E-3</v>
      </c>
      <c r="E160" s="160">
        <f t="shared" ref="E160:E162" si="5">C160*D160</f>
        <v>57.57774945434749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 x14ac:dyDescent="0.25">
      <c r="A161" s="202" t="s">
        <v>221</v>
      </c>
      <c r="B161" s="193"/>
      <c r="C161" s="155">
        <f>(C158+E158)/((100-D163)/100)</f>
        <v>8225.392779192498</v>
      </c>
      <c r="D161" s="114">
        <v>3.2399999999999998E-2</v>
      </c>
      <c r="E161" s="160">
        <f t="shared" si="5"/>
        <v>266.50272604583694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 x14ac:dyDescent="0.25">
      <c r="A162" s="202" t="s">
        <v>222</v>
      </c>
      <c r="B162" s="193"/>
      <c r="C162" s="155">
        <f>(C158+E158)/((100-D163)/100)</f>
        <v>8225.392779192498</v>
      </c>
      <c r="D162" s="114">
        <v>0.03</v>
      </c>
      <c r="E162" s="160">
        <f t="shared" si="5"/>
        <v>246.76178337577494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 x14ac:dyDescent="0.25">
      <c r="A163" s="209" t="s">
        <v>223</v>
      </c>
      <c r="B163" s="192"/>
      <c r="C163" s="193"/>
      <c r="D163" s="161">
        <f t="shared" ref="D163:E163" si="6">SUM(D160:D162)</f>
        <v>6.9399999999999989E-2</v>
      </c>
      <c r="E163" s="157">
        <f t="shared" si="6"/>
        <v>570.84225887595937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 x14ac:dyDescent="0.25">
      <c r="A164" s="209" t="s">
        <v>224</v>
      </c>
      <c r="B164" s="192"/>
      <c r="C164" s="192"/>
      <c r="D164" s="162">
        <f t="shared" ref="D164:E164" si="7">D157+D158+D163</f>
        <v>0.21940000000000001</v>
      </c>
      <c r="E164" s="163">
        <f t="shared" si="7"/>
        <v>1673.9167829223488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 x14ac:dyDescent="0.25">
      <c r="A166" s="210" t="s">
        <v>225</v>
      </c>
      <c r="B166" s="192"/>
      <c r="C166" s="192"/>
      <c r="D166" s="192"/>
      <c r="E166" s="126" t="s">
        <v>58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 x14ac:dyDescent="0.25">
      <c r="A167" s="202" t="s">
        <v>209</v>
      </c>
      <c r="B167" s="192"/>
      <c r="C167" s="192"/>
      <c r="D167" s="193"/>
      <c r="E167" s="155">
        <f>E60</f>
        <v>1457.4452727272726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 x14ac:dyDescent="0.25">
      <c r="A168" s="202" t="s">
        <v>210</v>
      </c>
      <c r="B168" s="192"/>
      <c r="C168" s="192"/>
      <c r="D168" s="193"/>
      <c r="E168" s="155">
        <f>E97</f>
        <v>1332.6908599438934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 x14ac:dyDescent="0.25">
      <c r="A169" s="202" t="s">
        <v>211</v>
      </c>
      <c r="B169" s="192"/>
      <c r="C169" s="192"/>
      <c r="D169" s="193"/>
      <c r="E169" s="155">
        <f>E121</f>
        <v>152.75952485184646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 x14ac:dyDescent="0.25">
      <c r="A170" s="202" t="s">
        <v>212</v>
      </c>
      <c r="B170" s="192"/>
      <c r="C170" s="192"/>
      <c r="D170" s="193"/>
      <c r="E170" s="124">
        <f t="shared" ref="E170:E171" si="8">E151</f>
        <v>115.02782711767111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 x14ac:dyDescent="0.25">
      <c r="A171" s="202" t="s">
        <v>213</v>
      </c>
      <c r="B171" s="192"/>
      <c r="C171" s="192"/>
      <c r="D171" s="193"/>
      <c r="E171" s="155">
        <f t="shared" si="8"/>
        <v>4058.6863479166668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 x14ac:dyDescent="0.25">
      <c r="A172" s="221" t="s">
        <v>226</v>
      </c>
      <c r="B172" s="222"/>
      <c r="C172" s="222"/>
      <c r="D172" s="223"/>
      <c r="E172" s="164">
        <f>E164</f>
        <v>1673.9167829223488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 x14ac:dyDescent="0.25">
      <c r="A173" s="209" t="s">
        <v>227</v>
      </c>
      <c r="B173" s="192"/>
      <c r="C173" s="192"/>
      <c r="D173" s="193"/>
      <c r="E173" s="157">
        <f>SUM(E167:E172)</f>
        <v>8790.5266154796991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 x14ac:dyDescent="0.25">
      <c r="A174" s="122"/>
      <c r="B174" s="122"/>
      <c r="C174" s="122"/>
      <c r="D174" s="122"/>
      <c r="E174" s="156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 x14ac:dyDescent="0.25">
      <c r="A175" s="122"/>
      <c r="B175" s="122"/>
      <c r="C175" s="122"/>
      <c r="D175" s="122"/>
      <c r="E175" s="156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 x14ac:dyDescent="0.25">
      <c r="A176" s="122"/>
      <c r="B176" s="122"/>
      <c r="C176" s="122"/>
      <c r="D176" s="122"/>
      <c r="E176" s="156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 x14ac:dyDescent="0.25">
      <c r="A177" s="210" t="s">
        <v>228</v>
      </c>
      <c r="B177" s="192"/>
      <c r="C177" s="192"/>
      <c r="D177" s="193"/>
      <c r="E177" s="125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 x14ac:dyDescent="0.25">
      <c r="A178" s="210"/>
      <c r="B178" s="192"/>
      <c r="C178" s="193"/>
      <c r="D178" s="165" t="s">
        <v>58</v>
      </c>
      <c r="E178" s="125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 x14ac:dyDescent="0.25">
      <c r="A179" s="213" t="s">
        <v>229</v>
      </c>
      <c r="B179" s="192"/>
      <c r="C179" s="193"/>
      <c r="D179" s="112">
        <f>E173</f>
        <v>8790.5266154796991</v>
      </c>
      <c r="E179" s="125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 x14ac:dyDescent="0.25">
      <c r="A180" s="213" t="s">
        <v>230</v>
      </c>
      <c r="B180" s="192"/>
      <c r="C180" s="193"/>
      <c r="D180" s="166">
        <v>1200</v>
      </c>
      <c r="E180" s="125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 x14ac:dyDescent="0.25">
      <c r="A181" s="202" t="s">
        <v>231</v>
      </c>
      <c r="B181" s="192"/>
      <c r="C181" s="193"/>
      <c r="D181" s="130">
        <f>D180*21</f>
        <v>25200</v>
      </c>
      <c r="E181" s="125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 x14ac:dyDescent="0.25">
      <c r="A182" s="214" t="s">
        <v>232</v>
      </c>
      <c r="B182" s="192"/>
      <c r="C182" s="192"/>
      <c r="D182" s="193"/>
      <c r="E182" s="167">
        <f>D179/D181</f>
        <v>0.34883042124919439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 x14ac:dyDescent="0.25">
      <c r="A183" s="168"/>
      <c r="B183" s="168"/>
      <c r="C183" s="168"/>
      <c r="D183" s="16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 x14ac:dyDescent="0.25">
      <c r="A184" s="205"/>
      <c r="B184" s="201"/>
      <c r="C184" s="201"/>
      <c r="D184" s="201"/>
      <c r="E184" s="20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 x14ac:dyDescent="0.25">
      <c r="A185" s="169"/>
      <c r="B185" s="169"/>
      <c r="C185" s="169"/>
      <c r="D185" s="169"/>
      <c r="E185" s="16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 x14ac:dyDescent="0.25">
      <c r="A186" s="170"/>
      <c r="B186" s="170"/>
      <c r="C186" s="170"/>
      <c r="D186" s="171"/>
      <c r="E186" s="17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 x14ac:dyDescent="0.25">
      <c r="A187" s="170"/>
      <c r="B187" s="206"/>
      <c r="C187" s="201"/>
      <c r="D187" s="201"/>
      <c r="E187" s="20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 x14ac:dyDescent="0.25">
      <c r="A188" s="168"/>
      <c r="B188" s="168"/>
      <c r="C188" s="168"/>
      <c r="D188" s="16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 x14ac:dyDescent="0.25">
      <c r="A189" s="122"/>
      <c r="B189" s="170"/>
      <c r="C189" s="173"/>
      <c r="D189" s="173"/>
      <c r="E189" s="17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 x14ac:dyDescent="0.25">
      <c r="A190" s="175"/>
      <c r="B190" s="204"/>
      <c r="C190" s="201"/>
      <c r="D190" s="201"/>
      <c r="E190" s="20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 x14ac:dyDescent="0.25">
      <c r="A191" s="122"/>
      <c r="B191" s="176"/>
      <c r="C191" s="177"/>
      <c r="D191" s="178"/>
      <c r="E191" s="179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 x14ac:dyDescent="0.25">
      <c r="A192" s="122"/>
      <c r="B192" s="180"/>
      <c r="C192" s="177"/>
      <c r="D192" s="178"/>
      <c r="E192" s="179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 x14ac:dyDescent="0.25">
      <c r="A193" s="122"/>
      <c r="B193" s="207"/>
      <c r="C193" s="201"/>
      <c r="D193" s="201"/>
      <c r="E193" s="20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 x14ac:dyDescent="0.25">
      <c r="A194" s="122"/>
      <c r="B194" s="176"/>
      <c r="C194" s="177"/>
      <c r="D194" s="178"/>
      <c r="E194" s="179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 x14ac:dyDescent="0.25">
      <c r="A195" s="135"/>
      <c r="B195" s="176"/>
      <c r="C195" s="177"/>
      <c r="D195" s="178"/>
      <c r="E195" s="179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 x14ac:dyDescent="0.25">
      <c r="A196" s="135"/>
      <c r="B196" s="206"/>
      <c r="C196" s="201"/>
      <c r="D196" s="201"/>
      <c r="E196" s="20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 x14ac:dyDescent="0.25">
      <c r="A197" s="135"/>
      <c r="B197" s="170"/>
      <c r="C197" s="170"/>
      <c r="D197" s="170"/>
      <c r="E197" s="170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 x14ac:dyDescent="0.25">
      <c r="A198" s="122"/>
      <c r="B198" s="122"/>
      <c r="C198" s="177"/>
      <c r="D198" s="181"/>
      <c r="E198" s="156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 x14ac:dyDescent="0.25">
      <c r="A199" s="122"/>
      <c r="B199" s="206"/>
      <c r="C199" s="201"/>
      <c r="D199" s="201"/>
      <c r="E199" s="20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 x14ac:dyDescent="0.25">
      <c r="A200" s="122"/>
      <c r="B200" s="170"/>
      <c r="C200" s="170"/>
      <c r="D200" s="170"/>
      <c r="E200" s="170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 x14ac:dyDescent="0.25">
      <c r="A202" s="175"/>
      <c r="B202" s="203"/>
      <c r="C202" s="201"/>
      <c r="D202" s="201"/>
      <c r="E202" s="20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 x14ac:dyDescent="0.25">
      <c r="A203" s="175"/>
      <c r="B203" s="182"/>
      <c r="C203" s="182"/>
      <c r="D203" s="182"/>
      <c r="E203" s="18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 x14ac:dyDescent="0.25">
      <c r="A204" s="175"/>
      <c r="B204" s="183"/>
      <c r="C204" s="184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 x14ac:dyDescent="0.25">
      <c r="A205" s="175"/>
      <c r="B205" s="203"/>
      <c r="C205" s="201"/>
      <c r="D205" s="201"/>
      <c r="E205" s="20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 x14ac:dyDescent="0.25">
      <c r="A206" s="175"/>
      <c r="B206" s="183"/>
      <c r="C206" s="184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 x14ac:dyDescent="0.25">
      <c r="A207" s="204"/>
      <c r="B207" s="201"/>
      <c r="C207" s="201"/>
      <c r="D207" s="201"/>
      <c r="E207" s="20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 x14ac:dyDescent="0.25">
      <c r="A209" s="122"/>
      <c r="B209" s="170"/>
      <c r="C209" s="173"/>
      <c r="D209" s="173"/>
      <c r="E209" s="17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 x14ac:dyDescent="0.25">
      <c r="A210" s="185"/>
      <c r="B210" s="186"/>
      <c r="C210" s="187"/>
      <c r="D210" s="178"/>
      <c r="E210" s="188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 x14ac:dyDescent="0.25">
      <c r="A211" s="122"/>
      <c r="B211" s="180"/>
      <c r="C211" s="177"/>
      <c r="D211" s="178"/>
      <c r="E211" s="17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 x14ac:dyDescent="0.25">
      <c r="A212" s="122"/>
      <c r="B212" s="176"/>
      <c r="C212" s="177"/>
      <c r="D212" s="178"/>
      <c r="E212" s="17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 x14ac:dyDescent="0.25">
      <c r="A213" s="122"/>
      <c r="B213" s="180"/>
      <c r="C213" s="177"/>
      <c r="D213" s="178"/>
      <c r="E213" s="17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 x14ac:dyDescent="0.25">
      <c r="A214" s="185"/>
      <c r="B214" s="189"/>
      <c r="C214" s="187"/>
      <c r="D214" s="178"/>
      <c r="E214" s="188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 x14ac:dyDescent="0.25">
      <c r="A215" s="185"/>
      <c r="B215" s="186"/>
      <c r="C215" s="187"/>
      <c r="D215" s="178"/>
      <c r="E215" s="188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 x14ac:dyDescent="0.25">
      <c r="A216" s="122"/>
      <c r="B216" s="180"/>
      <c r="C216" s="177"/>
      <c r="D216" s="178"/>
      <c r="E216" s="17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 x14ac:dyDescent="0.25">
      <c r="A217" s="122"/>
      <c r="B217" s="176"/>
      <c r="C217" s="177"/>
      <c r="D217" s="178"/>
      <c r="E217" s="179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 x14ac:dyDescent="0.25">
      <c r="A218" s="135"/>
      <c r="B218" s="176"/>
      <c r="C218" s="177"/>
      <c r="D218" s="178"/>
      <c r="E218" s="17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 x14ac:dyDescent="0.25">
      <c r="A219" s="135"/>
      <c r="B219" s="176"/>
      <c r="C219" s="177"/>
      <c r="D219" s="178"/>
      <c r="E219" s="179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 x14ac:dyDescent="0.25">
      <c r="A220" s="122"/>
      <c r="B220" s="122"/>
      <c r="C220" s="177"/>
      <c r="D220" s="181"/>
      <c r="E220" s="156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 x14ac:dyDescent="0.25">
      <c r="A222" s="175"/>
      <c r="B222" s="18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 x14ac:dyDescent="0.25">
      <c r="A223" s="175"/>
      <c r="B223" s="183"/>
      <c r="C223" s="184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customHeight="1" x14ac:dyDescent="0.25">
      <c r="A225" s="1"/>
      <c r="B225" s="1"/>
      <c r="C225" s="190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75" customHeight="1" x14ac:dyDescent="0.2"/>
    <row r="384" spans="1:25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55">
    <mergeCell ref="A12:B12"/>
    <mergeCell ref="A13:B13"/>
    <mergeCell ref="A14:B14"/>
    <mergeCell ref="A15:B15"/>
    <mergeCell ref="A16:B16"/>
    <mergeCell ref="A80:C80"/>
    <mergeCell ref="A81:C81"/>
    <mergeCell ref="A83:E83"/>
    <mergeCell ref="A84:D84"/>
    <mergeCell ref="A71:B71"/>
    <mergeCell ref="A72:C72"/>
    <mergeCell ref="A73:C73"/>
    <mergeCell ref="A74:C74"/>
    <mergeCell ref="A75:C75"/>
    <mergeCell ref="A76:C76"/>
    <mergeCell ref="A77:C77"/>
    <mergeCell ref="A78:C78"/>
    <mergeCell ref="A79:C79"/>
    <mergeCell ref="A60:D60"/>
    <mergeCell ref="A62:E62"/>
    <mergeCell ref="A63:E63"/>
    <mergeCell ref="A64:C64"/>
    <mergeCell ref="A65:C65"/>
    <mergeCell ref="A66:C66"/>
    <mergeCell ref="C7:E7"/>
    <mergeCell ref="C8:E8"/>
    <mergeCell ref="C9:E9"/>
    <mergeCell ref="C10:E10"/>
    <mergeCell ref="C11:E11"/>
    <mergeCell ref="A1:E1"/>
    <mergeCell ref="A2:E2"/>
    <mergeCell ref="A3:E3"/>
    <mergeCell ref="A4:E4"/>
    <mergeCell ref="A5:B5"/>
    <mergeCell ref="C5:E5"/>
    <mergeCell ref="C6:E6"/>
    <mergeCell ref="A6:B6"/>
    <mergeCell ref="A7:B7"/>
    <mergeCell ref="A8:B8"/>
    <mergeCell ref="A9:B9"/>
    <mergeCell ref="A10:B10"/>
    <mergeCell ref="A11:B11"/>
    <mergeCell ref="A17:E17"/>
    <mergeCell ref="A19:B19"/>
    <mergeCell ref="A21:C21"/>
    <mergeCell ref="A24:B24"/>
    <mergeCell ref="A27:E27"/>
    <mergeCell ref="A28:A29"/>
    <mergeCell ref="B28:B29"/>
    <mergeCell ref="C28:C29"/>
    <mergeCell ref="D28:E28"/>
    <mergeCell ref="A42:D42"/>
    <mergeCell ref="A43:D43"/>
    <mergeCell ref="A47:C47"/>
    <mergeCell ref="A48:C48"/>
    <mergeCell ref="A53:E53"/>
    <mergeCell ref="A55:E55"/>
    <mergeCell ref="A58:C58"/>
    <mergeCell ref="A59:C59"/>
    <mergeCell ref="A92:E92"/>
    <mergeCell ref="A90:D90"/>
    <mergeCell ref="A85:D85"/>
    <mergeCell ref="A86:D86"/>
    <mergeCell ref="A87:D87"/>
    <mergeCell ref="A88:D88"/>
    <mergeCell ref="A89:D89"/>
    <mergeCell ref="A67:C67"/>
    <mergeCell ref="A68:D68"/>
    <mergeCell ref="A70:E70"/>
    <mergeCell ref="A93:D93"/>
    <mergeCell ref="A94:D94"/>
    <mergeCell ref="A95:D95"/>
    <mergeCell ref="A96:D96"/>
    <mergeCell ref="A97:D97"/>
    <mergeCell ref="A99:E99"/>
    <mergeCell ref="A150:D150"/>
    <mergeCell ref="A151:D151"/>
    <mergeCell ref="A152:D152"/>
    <mergeCell ref="A121:C121"/>
    <mergeCell ref="A123:E123"/>
    <mergeCell ref="A124:E124"/>
    <mergeCell ref="A125:B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71:D171"/>
    <mergeCell ref="A172:D172"/>
    <mergeCell ref="A153:D153"/>
    <mergeCell ref="A155:E155"/>
    <mergeCell ref="A156:B156"/>
    <mergeCell ref="A157:B157"/>
    <mergeCell ref="A158:B158"/>
    <mergeCell ref="A159:E159"/>
    <mergeCell ref="A160:B160"/>
    <mergeCell ref="A161:B161"/>
    <mergeCell ref="A162:B162"/>
    <mergeCell ref="A111:C111"/>
    <mergeCell ref="A113:C113"/>
    <mergeCell ref="A114:C114"/>
    <mergeCell ref="A115:C115"/>
    <mergeCell ref="A117:D117"/>
    <mergeCell ref="A118:D118"/>
    <mergeCell ref="A119:D119"/>
    <mergeCell ref="A120:D120"/>
    <mergeCell ref="A163:C163"/>
    <mergeCell ref="A101:C101"/>
    <mergeCell ref="A102:C102"/>
    <mergeCell ref="A103:C103"/>
    <mergeCell ref="A104:C104"/>
    <mergeCell ref="A105:C105"/>
    <mergeCell ref="A107:C107"/>
    <mergeCell ref="A108:C108"/>
    <mergeCell ref="A109:C109"/>
    <mergeCell ref="A110:C110"/>
    <mergeCell ref="A137:C137"/>
    <mergeCell ref="A138:C138"/>
    <mergeCell ref="A140:E140"/>
    <mergeCell ref="A141:D141"/>
    <mergeCell ref="A142:D142"/>
    <mergeCell ref="A144:D144"/>
    <mergeCell ref="A145:D145"/>
    <mergeCell ref="A147:D147"/>
    <mergeCell ref="A148:D148"/>
    <mergeCell ref="A149:D149"/>
    <mergeCell ref="A143:D143"/>
    <mergeCell ref="B205:E205"/>
    <mergeCell ref="A207:E207"/>
    <mergeCell ref="A184:E184"/>
    <mergeCell ref="B187:E187"/>
    <mergeCell ref="B190:E190"/>
    <mergeCell ref="B193:E193"/>
    <mergeCell ref="B196:E196"/>
    <mergeCell ref="B199:E199"/>
    <mergeCell ref="B202:E202"/>
    <mergeCell ref="A173:D173"/>
    <mergeCell ref="A177:D177"/>
    <mergeCell ref="A178:C178"/>
    <mergeCell ref="A179:C179"/>
    <mergeCell ref="A180:C180"/>
    <mergeCell ref="A181:C181"/>
    <mergeCell ref="A182:D182"/>
    <mergeCell ref="A164:C164"/>
    <mergeCell ref="A166:D166"/>
    <mergeCell ref="A167:D167"/>
    <mergeCell ref="A168:D168"/>
    <mergeCell ref="A169:D169"/>
    <mergeCell ref="A170:D170"/>
  </mergeCells>
  <pageMargins left="0.511811024" right="0.511811024" top="0.78740157499999996" bottom="0.78740157499999996" header="0" footer="0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EPIs_Equipamentos_Combustíveis_</vt:lpstr>
      <vt:lpstr>Depreciação</vt:lpstr>
      <vt:lpstr>Postos_8h_LC_123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pmsap pmsap</dc:creator>
  <cp:lastModifiedBy>Usuário</cp:lastModifiedBy>
  <dcterms:created xsi:type="dcterms:W3CDTF">2018-08-22T16:54:47Z</dcterms:created>
  <dcterms:modified xsi:type="dcterms:W3CDTF">2022-07-26T16:52:14Z</dcterms:modified>
</cp:coreProperties>
</file>