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105" yWindow="-15" windowWidth="11910" windowHeight="9840" tabRatio="802"/>
  </bookViews>
  <sheets>
    <sheet name="1. Coleta Domiciliar" sheetId="2" r:id="rId1"/>
    <sheet name="2.Encargos Sociais" sheetId="8" r:id="rId2"/>
    <sheet name="3.CAGED" sheetId="5" r:id="rId3"/>
    <sheet name="4.BDI" sheetId="4" r:id="rId4"/>
    <sheet name="5. Depreciação" sheetId="6" r:id="rId5"/>
    <sheet name="6.Remuneração de capital" sheetId="7" r:id="rId6"/>
    <sheet name="7. Dimensionamento" sheetId="9" r:id="rId7"/>
  </sheets>
  <externalReferences>
    <externalReference r:id="rId8"/>
  </externalReferences>
  <definedNames>
    <definedName name="AbaDeprec">'5. Depreciação'!$A$1</definedName>
    <definedName name="AbaRemun">'6.Remuneração de capital'!$A$1</definedName>
    <definedName name="_xlnm.Print_Area" localSheetId="0">'1. Coleta Domiciliar'!$A$1:$F$360</definedName>
    <definedName name="_xlnm.Print_Area" localSheetId="1">'2.Encargos Sociais'!$A$1:$C$39</definedName>
    <definedName name="_xlnm.Print_Area" localSheetId="2">'3.CAGED'!$A$1:$C$53</definedName>
    <definedName name="_xlnm.Print_Area" localSheetId="3">'4.BDI'!$A$1:$F$53</definedName>
    <definedName name="_xlnm.Print_Area" localSheetId="4">'5. Depreciação'!$A$1:$F$38</definedName>
    <definedName name="_xlnm.Print_Area" localSheetId="5">'6.Remuneração de capital'!$A$1:$B$46</definedName>
    <definedName name="_xlnm.Print_Area" localSheetId="6">'7. Dimensionamento'!$A$1:$C$29</definedName>
    <definedName name="_xlnm.Print_Titles" localSheetId="0">'1. Coleta Domiciliar'!#REF!</definedName>
  </definedNames>
  <calcPr calcId="144525"/>
</workbook>
</file>

<file path=xl/calcChain.xml><?xml version="1.0" encoding="utf-8"?>
<calcChain xmlns="http://schemas.openxmlformats.org/spreadsheetml/2006/main">
  <c r="D290" i="2" l="1"/>
  <c r="D263" i="2" l="1"/>
  <c r="C123" i="2"/>
  <c r="C250" i="2" l="1"/>
  <c r="C264" i="2" l="1"/>
  <c r="C124" i="2" l="1"/>
  <c r="E124" i="2" s="1"/>
  <c r="F358" i="4" l="1"/>
  <c r="E110" i="2"/>
  <c r="C110" i="2" l="1"/>
  <c r="C109" i="2"/>
  <c r="C101" i="2"/>
  <c r="C216" i="2" l="1"/>
  <c r="D217" i="2" s="1"/>
  <c r="E217" i="2" s="1"/>
  <c r="D215" i="2"/>
  <c r="E215" i="2" s="1"/>
  <c r="C217" i="2"/>
  <c r="A14" i="2"/>
  <c r="E125" i="2"/>
  <c r="E122" i="2"/>
  <c r="F125" i="2" s="1"/>
  <c r="C103" i="2"/>
  <c r="C99" i="2"/>
  <c r="E14" i="2" l="1"/>
  <c r="E46" i="2"/>
  <c r="A46" i="2"/>
  <c r="A18" i="2" l="1"/>
  <c r="C205" i="2"/>
  <c r="C204" i="2"/>
  <c r="E41" i="2"/>
  <c r="E40" i="2"/>
  <c r="C90" i="2"/>
  <c r="D85" i="2"/>
  <c r="E85" i="2" s="1"/>
  <c r="D84" i="2"/>
  <c r="E84" i="2" s="1"/>
  <c r="E82" i="2"/>
  <c r="D103" i="2" s="1"/>
  <c r="C75" i="2"/>
  <c r="D70" i="2"/>
  <c r="E70" i="2" s="1"/>
  <c r="D69" i="2"/>
  <c r="E69" i="2" s="1"/>
  <c r="E67" i="2"/>
  <c r="D101" i="2" s="1"/>
  <c r="D86" i="2" l="1"/>
  <c r="E86" i="2" s="1"/>
  <c r="D88" i="2" s="1"/>
  <c r="E88" i="2" s="1"/>
  <c r="E89" i="2" s="1"/>
  <c r="D71" i="2"/>
  <c r="E71" i="2" s="1"/>
  <c r="D56" i="2"/>
  <c r="E56" i="2" s="1"/>
  <c r="D55" i="2"/>
  <c r="E55" i="2" s="1"/>
  <c r="E54" i="2"/>
  <c r="D99" i="2" s="1"/>
  <c r="D90" i="2" l="1"/>
  <c r="E90" i="2" s="1"/>
  <c r="E91" i="2" s="1"/>
  <c r="D92" i="2" s="1"/>
  <c r="E92" i="2" s="1"/>
  <c r="D73" i="2"/>
  <c r="E73" i="2" s="1"/>
  <c r="E74" i="2" s="1"/>
  <c r="D57" i="2"/>
  <c r="E57" i="2" s="1"/>
  <c r="D58" i="2" s="1"/>
  <c r="D75" i="2" l="1"/>
  <c r="E75" i="2" s="1"/>
  <c r="E76" i="2" s="1"/>
  <c r="D77" i="2" s="1"/>
  <c r="E77" i="2" s="1"/>
  <c r="E58" i="2"/>
  <c r="E59" i="2" s="1"/>
  <c r="D60" i="2" l="1"/>
  <c r="A30" i="2"/>
  <c r="A29" i="2"/>
  <c r="A28" i="2"/>
  <c r="A27" i="2"/>
  <c r="A26" i="2"/>
  <c r="A25" i="2"/>
  <c r="A24" i="2"/>
  <c r="E324" i="2" l="1"/>
  <c r="E323" i="2"/>
  <c r="C255" i="2" l="1"/>
  <c r="C172" i="2"/>
  <c r="C314" i="2"/>
  <c r="C312" i="2"/>
  <c r="E312" i="2" s="1"/>
  <c r="E310" i="2"/>
  <c r="D299" i="2"/>
  <c r="D297" i="2"/>
  <c r="D295" i="2"/>
  <c r="D293" i="2"/>
  <c r="D291" i="2"/>
  <c r="C291" i="2"/>
  <c r="C299" i="2" s="1"/>
  <c r="E283" i="2"/>
  <c r="C281" i="2"/>
  <c r="E281" i="2" s="1"/>
  <c r="C280" i="2"/>
  <c r="E280" i="2" s="1"/>
  <c r="C279" i="2"/>
  <c r="E275" i="2"/>
  <c r="C274" i="2"/>
  <c r="C269" i="2"/>
  <c r="D268" i="2"/>
  <c r="E263" i="2"/>
  <c r="E259" i="2"/>
  <c r="C256" i="2"/>
  <c r="C252" i="2"/>
  <c r="E252" i="2" s="1"/>
  <c r="C251" i="2"/>
  <c r="E247" i="2"/>
  <c r="D250" i="2" s="1"/>
  <c r="E322" i="2"/>
  <c r="E325" i="2"/>
  <c r="E326" i="2"/>
  <c r="E334" i="2"/>
  <c r="D335" i="2" s="1"/>
  <c r="E335" i="2" s="1"/>
  <c r="E338" i="2"/>
  <c r="A110" i="2"/>
  <c r="A117" i="2" s="1"/>
  <c r="A124" i="2" s="1"/>
  <c r="E291" i="2" l="1"/>
  <c r="F327" i="2"/>
  <c r="F329" i="2" s="1"/>
  <c r="E299" i="2"/>
  <c r="C268" i="2"/>
  <c r="E268" i="2" s="1"/>
  <c r="D300" i="2"/>
  <c r="D313" i="2"/>
  <c r="E313" i="2" s="1"/>
  <c r="D314" i="2" s="1"/>
  <c r="E314" i="2" s="1"/>
  <c r="F315" i="2" s="1"/>
  <c r="E30" i="2" s="1"/>
  <c r="C295" i="2"/>
  <c r="E295" i="2" s="1"/>
  <c r="C293" i="2"/>
  <c r="E293" i="2" s="1"/>
  <c r="E250" i="2"/>
  <c r="D251" i="2" s="1"/>
  <c r="E251" i="2" s="1"/>
  <c r="D255" i="2"/>
  <c r="E255" i="2" s="1"/>
  <c r="D256" i="2" s="1"/>
  <c r="E256" i="2" s="1"/>
  <c r="C270" i="2"/>
  <c r="C297" i="2"/>
  <c r="E297" i="2" s="1"/>
  <c r="C305" i="2"/>
  <c r="E305" i="2" s="1"/>
  <c r="F306" i="2" s="1"/>
  <c r="E29" i="2" s="1"/>
  <c r="C265" i="2"/>
  <c r="C336" i="2"/>
  <c r="E336" i="2" s="1"/>
  <c r="E103" i="2"/>
  <c r="C21" i="9"/>
  <c r="F301" i="2" l="1"/>
  <c r="E28" i="2" s="1"/>
  <c r="D337" i="2"/>
  <c r="E337" i="2" s="1"/>
  <c r="F338" i="2" s="1"/>
  <c r="C271" i="2"/>
  <c r="D272" i="2" s="1"/>
  <c r="E272" i="2" s="1"/>
  <c r="E257" i="2"/>
  <c r="D258" i="2" s="1"/>
  <c r="E258" i="2" s="1"/>
  <c r="F259" i="2" s="1"/>
  <c r="E25" i="2" s="1"/>
  <c r="C266" i="2"/>
  <c r="D267" i="2" s="1"/>
  <c r="E267" i="2" s="1"/>
  <c r="C23" i="5"/>
  <c r="F340" i="2" l="1"/>
  <c r="E273" i="2"/>
  <c r="D274" i="2" s="1"/>
  <c r="E274" i="2" s="1"/>
  <c r="F275" i="2" s="1"/>
  <c r="E26" i="2" s="1"/>
  <c r="A33" i="2" l="1"/>
  <c r="A32" i="2"/>
  <c r="A31" i="2"/>
  <c r="A16" i="2"/>
  <c r="A15" i="2"/>
  <c r="A7" i="2"/>
  <c r="C13" i="9" l="1"/>
  <c r="C14" i="9" s="1"/>
  <c r="C15" i="9" l="1"/>
  <c r="C17" i="9"/>
  <c r="C22" i="9" s="1"/>
  <c r="C24" i="9" s="1"/>
  <c r="C177" i="2"/>
  <c r="C116" i="2" l="1"/>
  <c r="E116" i="2" s="1"/>
  <c r="E39" i="2"/>
  <c r="C108" i="2" s="1"/>
  <c r="E45" i="2"/>
  <c r="C145" i="2" l="1"/>
  <c r="C117" i="2"/>
  <c r="C158" i="2"/>
  <c r="C115" i="2"/>
  <c r="C197" i="2"/>
  <c r="C192" i="2"/>
  <c r="D225" i="2"/>
  <c r="D223" i="2"/>
  <c r="D221" i="2"/>
  <c r="D219" i="2"/>
  <c r="D151" i="2" l="1"/>
  <c r="E151" i="2" s="1"/>
  <c r="E135" i="2"/>
  <c r="E136" i="2"/>
  <c r="E137" i="2"/>
  <c r="E138" i="2"/>
  <c r="E139" i="2"/>
  <c r="E140" i="2"/>
  <c r="E141" i="2"/>
  <c r="E142" i="2"/>
  <c r="E143" i="2"/>
  <c r="E134" i="2"/>
  <c r="C240" i="2" l="1"/>
  <c r="A23" i="2"/>
  <c r="A22" i="2"/>
  <c r="A21" i="2"/>
  <c r="A20" i="2"/>
  <c r="A19" i="2"/>
  <c r="A17" i="2"/>
  <c r="A13" i="2"/>
  <c r="A12" i="2"/>
  <c r="A11" i="2"/>
  <c r="A10" i="2"/>
  <c r="A9" i="2"/>
  <c r="A8" i="2"/>
  <c r="C20" i="8"/>
  <c r="E207" i="2"/>
  <c r="E198" i="2"/>
  <c r="E181" i="2"/>
  <c r="E159" i="2"/>
  <c r="E146" i="2"/>
  <c r="E118" i="2"/>
  <c r="E93" i="2"/>
  <c r="F93" i="2" s="1"/>
  <c r="E78" i="2"/>
  <c r="F78" i="2" s="1"/>
  <c r="E63" i="2"/>
  <c r="D186" i="2"/>
  <c r="C15" i="4"/>
  <c r="C20" i="4" s="1"/>
  <c r="C347" i="2" s="1"/>
  <c r="F13" i="4"/>
  <c r="E13" i="4"/>
  <c r="D13" i="4"/>
  <c r="C17" i="8"/>
  <c r="C25" i="5"/>
  <c r="C238" i="2"/>
  <c r="E238" i="2" s="1"/>
  <c r="C215" i="2"/>
  <c r="C219" i="2" s="1"/>
  <c r="E219" i="2" s="1"/>
  <c r="D226" i="2"/>
  <c r="E169" i="2"/>
  <c r="D191" i="2"/>
  <c r="C178" i="2"/>
  <c r="C173" i="2"/>
  <c r="C174" i="2"/>
  <c r="C191" i="2" s="1"/>
  <c r="A39" i="2"/>
  <c r="A40" i="2"/>
  <c r="A41" i="2"/>
  <c r="A45" i="2"/>
  <c r="A108" i="2"/>
  <c r="A115" i="2" s="1"/>
  <c r="A122" i="2" s="1"/>
  <c r="A109" i="2"/>
  <c r="A116" i="2" s="1"/>
  <c r="A123" i="2" s="1"/>
  <c r="E144" i="2"/>
  <c r="D152" i="2"/>
  <c r="E152" i="2" s="1"/>
  <c r="D153" i="2"/>
  <c r="E153" i="2" s="1"/>
  <c r="D154" i="2"/>
  <c r="E154" i="2" s="1"/>
  <c r="D155" i="2"/>
  <c r="E155" i="2" s="1"/>
  <c r="D156" i="2"/>
  <c r="E156" i="2" s="1"/>
  <c r="E157" i="2"/>
  <c r="E236" i="2"/>
  <c r="E205" i="2"/>
  <c r="E204" i="2"/>
  <c r="D279" i="2" l="1"/>
  <c r="E279" i="2" s="1"/>
  <c r="D282" i="2" s="1"/>
  <c r="E282" i="2" s="1"/>
  <c r="F283" i="2" s="1"/>
  <c r="E27" i="2" s="1"/>
  <c r="E24" i="2" s="1"/>
  <c r="D203" i="2"/>
  <c r="C27" i="5"/>
  <c r="C28" i="5" s="1"/>
  <c r="C26" i="5"/>
  <c r="C31" i="8" s="1"/>
  <c r="D172" i="2"/>
  <c r="E172" i="2" s="1"/>
  <c r="C223" i="2"/>
  <c r="E223" i="2" s="1"/>
  <c r="C225" i="2"/>
  <c r="E225" i="2" s="1"/>
  <c r="E31" i="2"/>
  <c r="E109" i="2"/>
  <c r="E174" i="2"/>
  <c r="C193" i="2" s="1"/>
  <c r="D145" i="2"/>
  <c r="E108" i="2"/>
  <c r="F111" i="2" s="1"/>
  <c r="E42" i="2"/>
  <c r="E115" i="2"/>
  <c r="E99" i="2"/>
  <c r="E191" i="2"/>
  <c r="E117" i="2"/>
  <c r="C221" i="2"/>
  <c r="E221" i="2" s="1"/>
  <c r="C231" i="2"/>
  <c r="E231" i="2" s="1"/>
  <c r="F232" i="2" s="1"/>
  <c r="E22" i="2" s="1"/>
  <c r="E32" i="2"/>
  <c r="E186" i="2"/>
  <c r="D239" i="2"/>
  <c r="E239" i="2" s="1"/>
  <c r="D240" i="2" s="1"/>
  <c r="E240" i="2" s="1"/>
  <c r="F241" i="2" s="1"/>
  <c r="E101" i="2"/>
  <c r="D158" i="2"/>
  <c r="F104" i="2" l="1"/>
  <c r="E11" i="2" s="1"/>
  <c r="E23" i="2"/>
  <c r="C30" i="8"/>
  <c r="C33" i="5"/>
  <c r="C27" i="8" s="1"/>
  <c r="C35" i="8" s="1"/>
  <c r="D173" i="2"/>
  <c r="E173" i="2" s="1"/>
  <c r="E203" i="2"/>
  <c r="D206" i="2" s="1"/>
  <c r="E206" i="2" s="1"/>
  <c r="F207" i="2" s="1"/>
  <c r="E20" i="2" s="1"/>
  <c r="C188" i="2"/>
  <c r="C189" i="2" s="1"/>
  <c r="D190" i="2" s="1"/>
  <c r="E190" i="2" s="1"/>
  <c r="C28" i="8"/>
  <c r="C19" i="8"/>
  <c r="C25" i="8" s="1"/>
  <c r="C34" i="8" s="1"/>
  <c r="E12" i="2"/>
  <c r="F118" i="2"/>
  <c r="E158" i="2"/>
  <c r="F159" i="2" s="1"/>
  <c r="E145" i="2"/>
  <c r="F146" i="2" s="1"/>
  <c r="D177" i="2"/>
  <c r="E177" i="2" s="1"/>
  <c r="D178" i="2" s="1"/>
  <c r="E178" i="2" s="1"/>
  <c r="F227" i="2"/>
  <c r="E21" i="2" s="1"/>
  <c r="E13" i="2" l="1"/>
  <c r="C29" i="8"/>
  <c r="C32" i="8" s="1"/>
  <c r="C36" i="8"/>
  <c r="E179" i="2"/>
  <c r="D180" i="2" s="1"/>
  <c r="E180" i="2" s="1"/>
  <c r="F181" i="2" s="1"/>
  <c r="C194" i="2"/>
  <c r="D195" i="2" s="1"/>
  <c r="E195" i="2" s="1"/>
  <c r="E196" i="2" s="1"/>
  <c r="D197" i="2" s="1"/>
  <c r="E197" i="2" s="1"/>
  <c r="F198" i="2" s="1"/>
  <c r="F161" i="2"/>
  <c r="E15" i="2" s="1"/>
  <c r="F317" i="2" l="1"/>
  <c r="E18" i="2"/>
  <c r="C37" i="8"/>
  <c r="E19" i="2"/>
  <c r="E17" i="2" l="1"/>
  <c r="E16" i="2"/>
  <c r="C60" i="2"/>
  <c r="E9" i="2"/>
  <c r="E60" i="2" l="1"/>
  <c r="E61" i="2" s="1"/>
  <c r="D62" i="2" s="1"/>
  <c r="E62" i="2" s="1"/>
  <c r="F63" i="2" s="1"/>
  <c r="F127" i="2" s="1"/>
  <c r="E10" i="2"/>
  <c r="E8" i="2" l="1"/>
  <c r="F342" i="2"/>
  <c r="D347" i="2" s="1"/>
  <c r="E347" i="2" s="1"/>
  <c r="F348" i="2" s="1"/>
  <c r="F350" i="2" s="1"/>
  <c r="F353" i="2" s="1"/>
  <c r="F358" i="2" s="1"/>
  <c r="E7" i="2" l="1"/>
  <c r="E33" i="2"/>
  <c r="E34" i="2" l="1"/>
  <c r="F7" i="2" l="1"/>
  <c r="F8" i="2"/>
  <c r="F12" i="2"/>
  <c r="F20" i="2"/>
  <c r="F24" i="2"/>
  <c r="F28" i="2"/>
  <c r="F32" i="2"/>
  <c r="F13" i="2"/>
  <c r="F21" i="2"/>
  <c r="F25" i="2"/>
  <c r="F14" i="2"/>
  <c r="F26" i="2"/>
  <c r="F34" i="2"/>
  <c r="F11" i="2"/>
  <c r="F15" i="2"/>
  <c r="F23" i="2"/>
  <c r="F27" i="2"/>
  <c r="F31" i="2"/>
  <c r="F9" i="2"/>
  <c r="F29" i="2"/>
  <c r="F10" i="2"/>
  <c r="F22" i="2"/>
  <c r="F30" i="2"/>
  <c r="F19" i="2"/>
  <c r="F18" i="2"/>
  <c r="F17" i="2"/>
  <c r="F16" i="2"/>
  <c r="F33" i="2"/>
</calcChain>
</file>

<file path=xl/comments1.xml><?xml version="1.0" encoding="utf-8"?>
<comments xmlns="http://schemas.openxmlformats.org/spreadsheetml/2006/main">
  <authors>
    <author>Clauber Bridi</author>
  </authors>
  <commentList>
    <comment ref="A5" authorId="0">
      <text>
        <r>
          <rPr>
            <sz val="9"/>
            <color indexed="81"/>
            <rFont val="Tahoma"/>
            <family val="2"/>
          </rPr>
          <t>Qualquer custo previsto no edital e não contemplado nesta planilha modelo deverá ser devidamente incluído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Tahoma"/>
            <family val="2"/>
          </rPr>
          <t>Informar o fator de utilização das equipes de coleta. 
Por exemplo:
Equipes com utilização integral = 100%
Equipes com utilização parcial = n° horas trabalhadas por semana /44 horas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C55" authorId="0">
      <text>
        <r>
          <rPr>
            <sz val="9"/>
            <color indexed="81"/>
            <rFont val="Tahoma"/>
            <family val="2"/>
          </rPr>
          <t>Informar o número de horas extras trabalhadas nos domingos e feriados em horário diurno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57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6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67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68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69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70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71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2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73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75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77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82" authorId="0">
      <text>
        <r>
          <rPr>
            <sz val="9"/>
            <color indexed="81"/>
            <rFont val="Tahoma"/>
            <family val="2"/>
          </rPr>
          <t>Informar o Piso da categoria fixado na Convenção Coletiva</t>
        </r>
      </text>
    </comment>
    <comment ref="D83" authorId="0">
      <text>
        <r>
          <rPr>
            <sz val="9"/>
            <color indexed="81"/>
            <rFont val="Tahoma"/>
            <family val="2"/>
          </rPr>
          <t>Informar o valor do salário Mínimo Nacional</t>
        </r>
      </text>
    </comment>
    <comment ref="C84" authorId="0">
      <text>
        <r>
          <rPr>
            <sz val="9"/>
            <color indexed="81"/>
            <rFont val="Tahoma"/>
            <family val="2"/>
          </rPr>
          <t>Informar o número de horas extras trabalhadas em horário diurno nos domingos e feriados</t>
        </r>
      </text>
    </comment>
    <comment ref="C85" authorId="0">
      <text>
        <r>
          <rPr>
            <sz val="9"/>
            <color indexed="81"/>
            <rFont val="Tahoma"/>
            <family val="2"/>
          </rPr>
          <t xml:space="preserve">Informar o número de horas extras trabalhadas em horário diurno de segunda a sábado 
</t>
        </r>
      </text>
    </comment>
    <comment ref="A86" authorId="0">
      <text>
        <r>
          <rPr>
            <sz val="9"/>
            <color indexed="81"/>
            <rFont val="Tahoma"/>
            <family val="2"/>
          </rPr>
          <t>Cálculo do descanso semanal remunerado incidente sobre as horas extras habitualmente prestadas. Considerada a média de 63 feriados + domingos e 302 dias trabalhados por ano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7" authorId="0">
      <text>
        <r>
          <rPr>
            <sz val="9"/>
            <color indexed="81"/>
            <rFont val="Tahoma"/>
            <family val="2"/>
          </rPr>
          <t xml:space="preserve">Informar 1 se a base de cálculo for o Salário Mínimo Nacional; Informar 2 se a base de cálculo for o Piso da Categoria; 
</t>
        </r>
      </text>
    </comment>
    <comment ref="C88" authorId="0">
      <text>
        <r>
          <rPr>
            <sz val="9"/>
            <color indexed="81"/>
            <rFont val="Tahoma"/>
            <family val="2"/>
          </rPr>
          <t>Percentual estabelecido nas Normas de Segurança de Trabalho ou pelo laudo de responsável técnico devidamente habilitado</t>
        </r>
      </text>
    </comment>
    <comment ref="C90" authorId="0">
      <text>
        <r>
          <rPr>
            <sz val="9"/>
            <color indexed="81"/>
            <rFont val="Tahoma"/>
            <family val="2"/>
          </rPr>
          <t xml:space="preserve">Preencher a planilha Encargos Sociais e CAGED </t>
        </r>
      </text>
    </comment>
    <comment ref="C92" authorId="0">
      <text>
        <r>
          <rPr>
            <sz val="9"/>
            <color indexed="81"/>
            <rFont val="Tahoma"/>
            <family val="2"/>
          </rPr>
          <t>Informar a quantidade de trabalhadores na função</t>
        </r>
      </text>
    </comment>
    <comment ref="D97" authorId="0">
      <text>
        <r>
          <rPr>
            <sz val="9"/>
            <color indexed="81"/>
            <rFont val="Tahoma"/>
            <family val="2"/>
          </rPr>
          <t>Informar o valor unitário do VT no município</t>
        </r>
      </text>
    </comment>
    <comment ref="C98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99" authorId="0">
      <text>
        <r>
          <rPr>
            <sz val="9"/>
            <color indexed="81"/>
            <rFont val="Tahoma"/>
            <family val="2"/>
          </rPr>
          <t>Valor Unitário considerando o desconto legal de até 6% do salário</t>
        </r>
      </text>
    </comment>
    <comment ref="C100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1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C102" authorId="0">
      <text>
        <r>
          <rPr>
            <sz val="9"/>
            <color indexed="81"/>
            <rFont val="Tahoma"/>
            <family val="2"/>
          </rPr>
          <t>Informar o número médio de dias trabalhados por mês</t>
        </r>
      </text>
    </comment>
    <comment ref="D103" authorId="0">
      <text>
        <r>
          <rPr>
            <sz val="9"/>
            <color indexed="81"/>
            <rFont val="Tahoma"/>
            <family val="2"/>
          </rPr>
          <t xml:space="preserve">Valor Unitário considerando o desconto legal de até 6% do salário
</t>
        </r>
      </text>
    </comment>
    <comment ref="D108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09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15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17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Informar o valor mensal do auxilio alimentação, considerando o desconto aplicável ao funcionário, conforme Convenção Coletiva da categoria</t>
        </r>
      </text>
    </comment>
    <comment ref="C13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4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5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6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7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7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8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8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39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39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0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0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1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2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C14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43" authorId="0">
      <text>
        <r>
          <rPr>
            <sz val="9"/>
            <color indexed="81"/>
            <rFont val="Tahoma"/>
            <family val="2"/>
          </rPr>
          <t>Informar o valor unitário estimado para aquisição de cada EPI</t>
        </r>
      </text>
    </comment>
    <comment ref="D144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C151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2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3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4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5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C156" authorId="0">
      <text>
        <r>
          <rPr>
            <sz val="9"/>
            <color indexed="81"/>
            <rFont val="Tahoma"/>
            <family val="2"/>
          </rPr>
          <t xml:space="preserve">Informar a durabilidade estimada em meses, para cada EPI
</t>
        </r>
      </text>
    </comment>
    <comment ref="D157" authorId="0">
      <text>
        <r>
          <rPr>
            <sz val="9"/>
            <color indexed="81"/>
            <rFont val="Tahoma"/>
            <family val="2"/>
          </rPr>
          <t>Informar o valor mensal de higienização de uniforme para 1 funcionário</t>
        </r>
      </text>
    </comment>
    <comment ref="D169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170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171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4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175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176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177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0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4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05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11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14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14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18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18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20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20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22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22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24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24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231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236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236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237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238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239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D247" authorId="0">
      <text>
        <r>
          <rPr>
            <sz val="9"/>
            <color indexed="81"/>
            <rFont val="Tahoma"/>
            <family val="2"/>
          </rPr>
          <t>Informar o preço unitário do chassis do caminhão de coleta</t>
        </r>
      </text>
    </comment>
    <comment ref="C248" authorId="0">
      <text>
        <r>
          <rPr>
            <sz val="9"/>
            <color indexed="81"/>
            <rFont val="Tahoma"/>
            <family val="2"/>
          </rPr>
          <t>Informar a vida útil estimada para o caminhão, em anos</t>
        </r>
      </text>
    </comment>
    <comment ref="C249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veículo proposto.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caminhão,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2" authorId="0">
      <text>
        <r>
          <rPr>
            <sz val="9"/>
            <color indexed="81"/>
            <rFont val="Tahoma"/>
            <family val="2"/>
          </rPr>
          <t xml:space="preserve">Informar o preço unitário do equipamento compactador
</t>
        </r>
      </text>
    </comment>
    <comment ref="C253" authorId="0">
      <text>
        <r>
          <rPr>
            <sz val="9"/>
            <color indexed="81"/>
            <rFont val="Tahoma"/>
            <family val="2"/>
          </rPr>
          <t>Informar a vida útil estimada para o compactador, em anos</t>
        </r>
      </text>
    </comment>
    <comment ref="C254" authorId="0">
      <text>
        <r>
          <rPr>
            <sz val="9"/>
            <color indexed="81"/>
            <rFont val="Tahoma"/>
            <family val="2"/>
          </rPr>
          <t>Na elaboração do orçamento-base da licitação, informar 0 (zero). Na proposta da licitante, informar a idade do compactador proposto.</t>
        </r>
      </text>
    </comment>
    <comment ref="C255" authorId="0">
      <text>
        <r>
          <rPr>
            <b/>
            <sz val="9"/>
            <color indexed="81"/>
            <rFont val="Tahoma"/>
            <family val="2"/>
          </rPr>
          <t xml:space="preserve">Informar o valor da depreciação do compactador, adotando o valor sugerido pelo TCE ou outro valor estimado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58" authorId="0">
      <text>
        <r>
          <rPr>
            <sz val="9"/>
            <color indexed="81"/>
            <rFont val="Tahoma"/>
            <family val="2"/>
          </rPr>
          <t>Informar a quantidade de caminhões compactadores do respectivo modelo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>Informar a taxa de juros anual para remuneração do capital. Recomenda-se o uso da Taxa SELIC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80" authorId="0">
      <text>
        <r>
          <rPr>
            <sz val="9"/>
            <color indexed="81"/>
            <rFont val="Tahoma"/>
            <family val="2"/>
          </rPr>
          <t xml:space="preserve">Informar o valor do seguro obrigatório e licenciamento anual de um caminhão
</t>
        </r>
      </text>
    </comment>
    <comment ref="D281" authorId="0">
      <text>
        <r>
          <rPr>
            <sz val="9"/>
            <color indexed="81"/>
            <rFont val="Tahoma"/>
            <family val="2"/>
          </rPr>
          <t xml:space="preserve">Informar o valor do seguro contra terceiros de um caminhão, se houver previsão no Projeto Básico
</t>
        </r>
      </text>
    </comment>
    <comment ref="B287" authorId="0">
      <text>
        <r>
          <rPr>
            <sz val="9"/>
            <color indexed="81"/>
            <rFont val="Tahoma"/>
            <family val="2"/>
          </rPr>
          <t xml:space="preserve">Informar a quilometragem mensal percorrida, de acordo com o projeto básico
</t>
        </r>
      </text>
    </comment>
    <comment ref="C290" authorId="0">
      <text>
        <r>
          <rPr>
            <sz val="9"/>
            <color indexed="81"/>
            <rFont val="Tahoma"/>
            <family val="2"/>
          </rPr>
          <t>Informar o consumo estimado do veículo em km/l</t>
        </r>
      </text>
    </comment>
    <comment ref="D290" authorId="0">
      <text>
        <r>
          <rPr>
            <sz val="9"/>
            <color indexed="81"/>
            <rFont val="Tahoma"/>
            <family val="2"/>
          </rPr>
          <t xml:space="preserve">Informar o preço unitário do combustivel
</t>
        </r>
      </text>
    </comment>
    <comment ref="C292" authorId="0">
      <text>
        <r>
          <rPr>
            <sz val="9"/>
            <color indexed="81"/>
            <rFont val="Tahoma"/>
            <family val="2"/>
          </rPr>
          <t>Informar o consumo de óleo do motor a cada 1000km</t>
        </r>
      </text>
    </comment>
    <comment ref="D292" authorId="0">
      <text>
        <r>
          <rPr>
            <sz val="9"/>
            <color indexed="81"/>
            <rFont val="Tahoma"/>
            <family val="2"/>
          </rPr>
          <t xml:space="preserve">Informar o preço unitário do litro do óleo do motor
</t>
        </r>
      </text>
    </comment>
    <comment ref="C294" authorId="0">
      <text>
        <r>
          <rPr>
            <sz val="9"/>
            <color indexed="81"/>
            <rFont val="Tahoma"/>
            <family val="2"/>
          </rPr>
          <t>Informar o consumo de óleo da transmissão a cada 1000km</t>
        </r>
      </text>
    </comment>
    <comment ref="D294" authorId="0">
      <text>
        <r>
          <rPr>
            <sz val="9"/>
            <color indexed="81"/>
            <rFont val="Tahoma"/>
            <family val="2"/>
          </rPr>
          <t xml:space="preserve">Informar o preço unitário do litro do óleo da transmissão
</t>
        </r>
      </text>
    </comment>
    <comment ref="C296" authorId="0">
      <text>
        <r>
          <rPr>
            <sz val="9"/>
            <color indexed="81"/>
            <rFont val="Tahoma"/>
            <family val="2"/>
          </rPr>
          <t>Informar o consumo de óleo hidráulico a cada 1000km</t>
        </r>
      </text>
    </comment>
    <comment ref="D296" authorId="0">
      <text>
        <r>
          <rPr>
            <sz val="9"/>
            <color indexed="81"/>
            <rFont val="Tahoma"/>
            <family val="2"/>
          </rPr>
          <t xml:space="preserve">Informar o preço unitário do litro do óleo hidráulico
</t>
        </r>
      </text>
    </comment>
    <comment ref="C298" authorId="0">
      <text>
        <r>
          <rPr>
            <sz val="9"/>
            <color indexed="81"/>
            <rFont val="Tahoma"/>
            <family val="2"/>
          </rPr>
          <t>Informar o consumo de graxa a cada 1000km</t>
        </r>
      </text>
    </comment>
    <comment ref="D298" authorId="0">
      <text>
        <r>
          <rPr>
            <sz val="9"/>
            <color indexed="81"/>
            <rFont val="Tahoma"/>
            <family val="2"/>
          </rPr>
          <t xml:space="preserve">Informar o preço unitário do litro da graxa
</t>
        </r>
      </text>
    </comment>
    <comment ref="D305" authorId="0">
      <text>
        <r>
          <rPr>
            <sz val="9"/>
            <color indexed="81"/>
            <rFont val="Tahoma"/>
            <family val="2"/>
          </rPr>
          <t xml:space="preserve">Informar o custo de manutenção em R$/km rodado
</t>
        </r>
      </text>
    </comment>
    <comment ref="C310" authorId="0">
      <text>
        <r>
          <rPr>
            <sz val="9"/>
            <color indexed="81"/>
            <rFont val="Tahoma"/>
            <family val="2"/>
          </rPr>
          <t>Informar a quantidade de pneus novos de 1 caminhão</t>
        </r>
      </text>
    </comment>
    <comment ref="D310" authorId="0">
      <text>
        <r>
          <rPr>
            <sz val="9"/>
            <color indexed="81"/>
            <rFont val="Tahoma"/>
            <family val="2"/>
          </rPr>
          <t xml:space="preserve">Informar o preço unitário de cada pneu
</t>
        </r>
      </text>
    </comment>
    <comment ref="C311" authorId="0">
      <text>
        <r>
          <rPr>
            <sz val="9"/>
            <color indexed="81"/>
            <rFont val="Tahoma"/>
            <family val="2"/>
          </rPr>
          <t>Informar o número de recapagens por pneu</t>
        </r>
      </text>
    </comment>
    <comment ref="D312" authorId="0">
      <text>
        <r>
          <rPr>
            <sz val="9"/>
            <color indexed="81"/>
            <rFont val="Tahoma"/>
            <family val="2"/>
          </rPr>
          <t xml:space="preserve">Informar o preço unitário de cada recapagem
</t>
        </r>
      </text>
    </comment>
    <comment ref="C313" authorId="0">
      <text>
        <r>
          <rPr>
            <sz val="9"/>
            <color indexed="81"/>
            <rFont val="Tahoma"/>
            <family val="2"/>
          </rPr>
          <t xml:space="preserve">Informar a durabilidade média dos pneus considerando todas as recapagens, em km
</t>
        </r>
      </text>
    </comment>
    <comment ref="C322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2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23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3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25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5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C326" authorId="0">
      <text>
        <r>
          <rPr>
            <sz val="9"/>
            <color indexed="81"/>
            <rFont val="Tahoma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326" authorId="0">
      <text>
        <r>
          <rPr>
            <sz val="9"/>
            <color indexed="81"/>
            <rFont val="Tahoma"/>
            <family val="2"/>
          </rPr>
          <t>Informar o valor unitário estimado para aquisição de cada material</t>
        </r>
      </text>
    </comment>
    <comment ref="A331" authorId="0">
      <text>
        <r>
          <rPr>
            <b/>
            <sz val="9"/>
            <color indexed="81"/>
            <rFont val="Tahoma"/>
            <family val="2"/>
          </rPr>
          <t>Especificar somente quando for exigido no Projeto Básico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4" authorId="0">
      <text>
        <r>
          <rPr>
            <sz val="9"/>
            <color indexed="81"/>
            <rFont val="Tahoma"/>
            <family val="2"/>
          </rPr>
          <t>Informar o valor total para instalação do equipamento de monitoramento da frota, se houver previsão no Projeto Básico</t>
        </r>
      </text>
    </comment>
    <comment ref="D336" authorId="0">
      <text>
        <r>
          <rPr>
            <sz val="9"/>
            <color indexed="81"/>
            <rFont val="Tahoma"/>
            <family val="2"/>
          </rPr>
          <t>Informar o valor unitário mensal para manutenção dos equipamentos de monitoramento</t>
        </r>
      </text>
    </comment>
    <comment ref="C347" authorId="0">
      <text>
        <r>
          <rPr>
            <sz val="9"/>
            <color indexed="81"/>
            <rFont val="Tahoma"/>
            <family val="2"/>
          </rPr>
          <t>Preencher a aba 4.BDI</t>
        </r>
      </text>
    </comment>
    <comment ref="D356" authorId="0">
      <text>
        <r>
          <rPr>
            <sz val="9"/>
            <color indexed="81"/>
            <rFont val="Tahoma"/>
            <family val="2"/>
          </rPr>
          <t xml:space="preserve">Informar a quantidade média coletada nos últimos 12 meses
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C12" authorId="0">
      <text>
        <r>
          <rPr>
            <b/>
            <sz val="9"/>
            <color indexed="81"/>
            <rFont val="Tahoma"/>
            <family val="2"/>
          </rPr>
          <t>Informar o % de Administração Central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Informar o % de Seguros, Riscos e Garantia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Informar o % de Lucro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Informar o valor anual da taxa financeira, em percentual. Admite-se utilizar a SELIC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Informar o percentual de ISS, de acordo com a legislação tributária do município onde serão prestados os serviços. De 2% até o limite de 5%.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</rPr>
          <t>Informar a média de dias úteis entre data de pagamento prevista no contrato e a data final do período de adimplemento da parcela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 xml:space="preserve">Informar o valor estimado de PIS/COFINS. </t>
        </r>
        <r>
          <rPr>
            <sz val="9"/>
            <color indexed="81"/>
            <rFont val="Tahoma"/>
            <family val="2"/>
          </rPr>
          <t xml:space="preserve">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>
  <authors>
    <author>cbridi</author>
    <author>Clauber Bridi</author>
    <author>Omar</author>
  </authors>
  <commentList>
    <comment ref="C12" authorId="0">
      <text>
        <r>
          <rPr>
            <sz val="8"/>
            <color indexed="81"/>
            <rFont val="Tahoma"/>
            <family val="2"/>
          </rPr>
          <t>Informar a população do município a ser atendida</t>
        </r>
      </text>
    </comment>
    <comment ref="C13" authorId="1">
      <text>
        <r>
          <rPr>
            <b/>
            <sz val="9"/>
            <color indexed="81"/>
            <rFont val="Tahoma"/>
            <family val="2"/>
          </rPr>
          <t>Caso o município possua informações de pesagem, ajustar com o valor da geração média per capita realizada nos últimos 12 meses</t>
        </r>
      </text>
    </comment>
    <comment ref="C14" authorId="2">
      <text>
        <r>
          <rPr>
            <sz val="9"/>
            <color indexed="81"/>
            <rFont val="Tahoma"/>
            <family val="2"/>
          </rPr>
          <t>retorna a geração diária a ser recolhida</t>
        </r>
      </text>
    </comment>
    <comment ref="C16" authorId="0">
      <text>
        <r>
          <rPr>
            <b/>
            <sz val="8"/>
            <color indexed="81"/>
            <rFont val="Tahoma"/>
            <charset val="1"/>
          </rPr>
          <t>Informe o número de dias de coleta por semana</t>
        </r>
      </text>
    </comment>
    <comment ref="C19" authorId="0">
      <text>
        <r>
          <rPr>
            <sz val="8"/>
            <color indexed="81"/>
            <rFont val="Tahoma"/>
            <family val="2"/>
          </rPr>
          <t>Informar 1 para caminhão toco; Informar 2 para caminhão truck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C20" authorId="0">
      <text>
        <r>
          <rPr>
            <sz val="8"/>
            <color indexed="81"/>
            <rFont val="Tahoma"/>
            <family val="2"/>
          </rPr>
          <t>Informar a capacidade do compactador em m³</t>
        </r>
      </text>
    </comment>
    <comment ref="C23" authorId="1">
      <text>
        <r>
          <rPr>
            <sz val="8"/>
            <color indexed="81"/>
            <rFont val="Tahoma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<sst xmlns="http://schemas.openxmlformats.org/spreadsheetml/2006/main" count="682" uniqueCount="317">
  <si>
    <t>Adicional de Insalubridade</t>
  </si>
  <si>
    <t>%</t>
  </si>
  <si>
    <t>Soma</t>
  </si>
  <si>
    <t>Encargos Sociais</t>
  </si>
  <si>
    <t>Total do Efetivo</t>
  </si>
  <si>
    <t>homem</t>
  </si>
  <si>
    <t>mês</t>
  </si>
  <si>
    <t>vale</t>
  </si>
  <si>
    <t>unidade</t>
  </si>
  <si>
    <t>Colete reflexivo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</si>
  <si>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</si>
  <si>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</si>
  <si>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</si>
  <si>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</si>
  <si>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</si>
  <si>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</si>
  <si>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</si>
  <si>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</si>
  <si>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</si>
  <si>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</si>
  <si>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</si>
  <si>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</si>
  <si>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</si>
  <si>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</si>
  <si>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</si>
  <si>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toneladas</t>
  </si>
  <si>
    <t>Pá de Concha</t>
  </si>
  <si>
    <t>Vassoura</t>
  </si>
  <si>
    <t>Calça</t>
  </si>
  <si>
    <t>Camiseta</t>
  </si>
  <si>
    <t>Boné</t>
  </si>
  <si>
    <t>Luva de proteção</t>
  </si>
  <si>
    <t>R$/tonelada</t>
  </si>
  <si>
    <t>R$</t>
  </si>
  <si>
    <t>Benefícios e despesas indiretas</t>
  </si>
  <si>
    <t>Custo mensal com manutenção</t>
  </si>
  <si>
    <t>Custo (R$/mês)</t>
  </si>
  <si>
    <t>Mão-de-obra</t>
  </si>
  <si>
    <t>Quantidade</t>
  </si>
  <si>
    <t>INSS</t>
  </si>
  <si>
    <t>FGTS</t>
  </si>
  <si>
    <t>Planilha de Composição de Custos</t>
  </si>
  <si>
    <t>Motorista</t>
  </si>
  <si>
    <t>2. Uniformes e Equipamentos de Proteção Individual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</si>
  <si>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</si>
  <si>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</si>
  <si>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</si>
  <si>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</si>
  <si>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</si>
  <si>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</si>
  <si>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</si>
  <si>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</si>
  <si>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</si>
  <si>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</si>
  <si>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cj</t>
  </si>
  <si>
    <t>Total de mão-de-obra (postos de trabalho)</t>
  </si>
  <si>
    <t>Publicidade (adesivos veículos)</t>
  </si>
  <si>
    <t>Custo mensal com implantação</t>
  </si>
  <si>
    <t>3.1.6. Pneus</t>
  </si>
  <si>
    <t>Protetor solar FPS 30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</si>
  <si>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</si>
  <si>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</si>
  <si>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</si>
  <si>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</si>
  <si>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Jaqueta com reflexivo (NBR 15.292)</t>
  </si>
  <si>
    <t>Capa de chuva amarela com reflexivo</t>
  </si>
  <si>
    <t>PREÇO POR TONELADA COLETADA:  [A/B]</t>
  </si>
  <si>
    <t>Custo de recapagem</t>
  </si>
  <si>
    <t>Recipiente térmico para água (5L)</t>
  </si>
  <si>
    <t>Total por Coletor</t>
  </si>
  <si>
    <t>Coletor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</si>
  <si>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</si>
  <si>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</si>
  <si>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</si>
  <si>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</si>
  <si>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</si>
  <si>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</si>
  <si>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</si>
  <si>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</si>
  <si>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</si>
  <si>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</si>
  <si>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</si>
  <si>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</si>
  <si>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</si>
  <si>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</si>
  <si>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</si>
  <si>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</si>
  <si>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6. Benefícios e Despesas Indiretas - BDI</t>
  </si>
  <si>
    <t>Vale Transporte</t>
  </si>
  <si>
    <t>Dias Trabalhados por mês</t>
  </si>
  <si>
    <t>dia</t>
  </si>
  <si>
    <t>Custo Mensal com Mão-de-obra (R$/mês)</t>
  </si>
  <si>
    <t>Meia de algodão com cano alto</t>
  </si>
  <si>
    <t>Quantitativos</t>
  </si>
  <si>
    <t>1.1. Coletor Turno Dia</t>
  </si>
  <si>
    <t>1.5. Vale Transporte</t>
  </si>
  <si>
    <t>Vida útil do chassis</t>
  </si>
  <si>
    <t>anos</t>
  </si>
  <si>
    <t>Vida útil do compactador</t>
  </si>
  <si>
    <t>Depreciação do compactador</t>
  </si>
  <si>
    <t>Depreciação do chassis</t>
  </si>
  <si>
    <t>Custo de aquisição do compactador</t>
  </si>
  <si>
    <t>Custo de aquisição do chassis</t>
  </si>
  <si>
    <t>Depreciação mensal do compactador</t>
  </si>
  <si>
    <t>i = taxa de juros do mercado (sugere-se adotar a taxa SELIC)</t>
  </si>
  <si>
    <t>n = vida útil do bem em anos</t>
  </si>
  <si>
    <t>Custo do chassis</t>
  </si>
  <si>
    <t>Custo do compactador</t>
  </si>
  <si>
    <t>Im = investimento médio</t>
  </si>
  <si>
    <t>Remuneração mensal de capital do compactador</t>
  </si>
  <si>
    <t>Investimento médio total do chassis</t>
  </si>
  <si>
    <t>Remuneração mensal de capital do chassis</t>
  </si>
  <si>
    <t>Investimento médio total do compactador</t>
  </si>
  <si>
    <t>Custo de manutenção dos caminhões</t>
  </si>
  <si>
    <t>Quilometragem mensal</t>
  </si>
  <si>
    <t>R$/km rodado</t>
  </si>
  <si>
    <t>Número de recapagens por pneu</t>
  </si>
  <si>
    <t>1.6. Vale-refeição (diário)</t>
  </si>
  <si>
    <t>1.7. Auxílio Alimentação (mensal)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</si>
  <si>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</si>
  <si>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</si>
  <si>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</si>
  <si>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</si>
  <si>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</si>
  <si>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</si>
  <si>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</si>
  <si>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</si>
  <si>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</si>
  <si>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</si>
  <si>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</si>
  <si>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</si>
  <si>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</si>
  <si>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</si>
  <si>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</si>
  <si>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</si>
  <si>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</si>
  <si>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</si>
  <si>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</si>
  <si>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</si>
  <si>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</si>
  <si>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</si>
  <si>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</si>
  <si>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</si>
  <si>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</si>
  <si>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</si>
  <si>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</si>
  <si>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</si>
  <si>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</si>
  <si>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</si>
  <si>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</si>
  <si>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</si>
  <si>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</si>
  <si>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</si>
  <si>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</si>
  <si>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</si>
  <si>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</si>
  <si>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</si>
  <si>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</si>
  <si>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</si>
  <si>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</si>
  <si>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</si>
  <si>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</si>
  <si>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</si>
  <si>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</si>
  <si>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</si>
  <si>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</si>
  <si>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</si>
  <si>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</si>
  <si>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</si>
  <si>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</si>
  <si>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</si>
  <si>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</si>
  <si>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</si>
  <si>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</si>
  <si>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</si>
  <si>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</si>
  <si>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</si>
  <si>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</si>
  <si>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</si>
  <si>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</si>
  <si>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</si>
  <si>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</si>
  <si>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</si>
  <si>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</si>
  <si>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</si>
  <si>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1° Quartil</t>
  </si>
  <si>
    <t>Médio</t>
  </si>
  <si>
    <t>3° Quartil</t>
  </si>
  <si>
    <t>DU</t>
  </si>
  <si>
    <t>Licenciamento e Seguro obrigatório</t>
  </si>
  <si>
    <t>Fator de utilização</t>
  </si>
  <si>
    <t>Fator de utilização (FU)</t>
  </si>
  <si>
    <t>2.1. Uniformes e EPIs para Coletor</t>
  </si>
  <si>
    <t>Higienização de uniformes e EPIs</t>
  </si>
  <si>
    <t>2.2. Uniformes e EPIs para demais categorias</t>
  </si>
  <si>
    <t>Custo Mensal com Uniformes e EPIs (R$/mês)</t>
  </si>
  <si>
    <t>Descrição do Item</t>
  </si>
  <si>
    <t>Orçamento Sintético</t>
  </si>
  <si>
    <t>Orientações para preenchimento:</t>
  </si>
  <si>
    <t>Rio Grande do Sul  - Coleta de Resíduos Não-Perigosos - CNAE 38114</t>
  </si>
  <si>
    <t>Idade do veículo (ano)</t>
  </si>
  <si>
    <t>Idade do veículo</t>
  </si>
  <si>
    <t>Idade do compactador</t>
  </si>
  <si>
    <t>Valor do veículo proposto (V0)</t>
  </si>
  <si>
    <t>Valor do compactador proposto (V0)</t>
  </si>
  <si>
    <t>Taxa de juros anual nominal</t>
  </si>
  <si>
    <t>Piso da categoria</t>
  </si>
  <si>
    <t>Base de cálculo da Insalubridade</t>
  </si>
  <si>
    <t>C2</t>
  </si>
  <si>
    <t>B3</t>
  </si>
  <si>
    <t xml:space="preserve">1. Coleta de Resíduos Sólidos </t>
  </si>
  <si>
    <t xml:space="preserve">Quantidade média de resíduos coletados por mês: 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</si>
  <si>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</si>
  <si>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</si>
  <si>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</si>
  <si>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</si>
  <si>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</si>
  <si>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CUSTO TOTAL MENSAL COM DESPESAS OPERACIONAIS (R$/mês)</t>
  </si>
  <si>
    <t>PREÇO MENSAL TOTAL (R$/mês)</t>
  </si>
  <si>
    <t>3. CAGED</t>
  </si>
  <si>
    <t>4. Composição do BDI - Benefícios e Despesas Indiretas</t>
  </si>
  <si>
    <t xml:space="preserve">2. Composição dos Encargos Sociais </t>
  </si>
  <si>
    <t>5. Depreciação Referencial TCE/RS (%)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</si>
  <si>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</si>
  <si>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</si>
  <si>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</si>
  <si>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6. Remuneração de Capital</t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</si>
  <si>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</si>
  <si>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</si>
  <si>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</si>
  <si>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</si>
  <si>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</si>
  <si>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CUSTO MENSAL COM BDI (R$/mês)</t>
  </si>
  <si>
    <t>CÁLCULO DAS VERBAS INDENIZATÓRIAS DOS EMPREGADOS NO SETOR DE COLETA DE RSU</t>
  </si>
  <si>
    <t>1/3 de férias (dias)</t>
  </si>
  <si>
    <t>Férias (dias)</t>
  </si>
  <si>
    <t>13º Salário (dias)</t>
  </si>
  <si>
    <t>Referência estudo TCE</t>
  </si>
  <si>
    <t>1. Preencha previamente os dados de entrada na planilha 3.CAGED</t>
  </si>
  <si>
    <t>Rotatividade temporal (meses)</t>
  </si>
  <si>
    <t>Fórmula de cálculo da remuneração de capital:</t>
  </si>
  <si>
    <t>Total por Motorista</t>
  </si>
  <si>
    <t>Durabilidade (meses)</t>
  </si>
  <si>
    <t>Custo com consumos/km rodado</t>
  </si>
  <si>
    <t>Consumo</t>
  </si>
  <si>
    <t>Total por veículo</t>
  </si>
  <si>
    <t>Total da frota</t>
  </si>
  <si>
    <t>Unid</t>
  </si>
  <si>
    <t>hab</t>
  </si>
  <si>
    <t>ton</t>
  </si>
  <si>
    <t>Densidade RSU compactado</t>
  </si>
  <si>
    <t>Kg/m³</t>
  </si>
  <si>
    <t>m³</t>
  </si>
  <si>
    <t>Kg/hab.dia</t>
  </si>
  <si>
    <t>ton/dia</t>
  </si>
  <si>
    <t>População (H)</t>
  </si>
  <si>
    <t>Geração per capita (G)</t>
  </si>
  <si>
    <t>Geração total diária (Qd)</t>
  </si>
  <si>
    <t>Quantitativo diário de coleta (Qc)</t>
  </si>
  <si>
    <t>Número de dias de coleta por semana (Dc)</t>
  </si>
  <si>
    <t>Capacidade nominal de carga (Cc)</t>
  </si>
  <si>
    <t>Número de Cargas por dia (Nc)</t>
  </si>
  <si>
    <t>Número de veículos da Frota (F)</t>
  </si>
  <si>
    <t>Geração Mensal</t>
  </si>
  <si>
    <t>Tipo de Veículo (1 = toco, 2 = truck)</t>
  </si>
  <si>
    <t>Capacidade do Compactador</t>
  </si>
  <si>
    <t>7. Dimensionamento da frota</t>
  </si>
  <si>
    <t>Indicador</t>
  </si>
  <si>
    <t>Número total de percursos de coleta por veículo, por dia (Np)</t>
  </si>
  <si>
    <t>i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</si>
  <si>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</si>
  <si>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</si>
  <si>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</si>
  <si>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</si>
  <si>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</si>
  <si>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</si>
  <si>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</si>
  <si>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Variação Emprego Absoluta de 01-01-2019 a 31-12-2019</t>
  </si>
  <si>
    <t>Estoque recuperado início do Período 01-01-2019</t>
  </si>
  <si>
    <t>Estoque recuperado final do Período 31-12-2019</t>
  </si>
  <si>
    <r>
      <t>3.1. Veículo Coletor Compactador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12 m³</t>
    </r>
  </si>
  <si>
    <r>
      <t>Custo jg. compl. + 1</t>
    </r>
    <r>
      <rPr>
        <sz val="10"/>
        <rFont val="Arial"/>
        <family val="2"/>
      </rPr>
      <t xml:space="preserve"> recap./ km rodado</t>
    </r>
  </si>
  <si>
    <t>1.2. Motorista Turno do Dia</t>
  </si>
  <si>
    <t>1.3. Gerente</t>
  </si>
  <si>
    <t>Gerente</t>
  </si>
  <si>
    <t>Custo do jogo de pneus 275/80 R22,5"</t>
  </si>
  <si>
    <t>Idade da carroceria</t>
  </si>
  <si>
    <t>Vida útil da carroceria</t>
  </si>
  <si>
    <t>Custo de aquisição da carroceria</t>
  </si>
  <si>
    <t>Depreciação da carroceria</t>
  </si>
  <si>
    <t>Depreciação mensal da carroceria</t>
  </si>
  <si>
    <t>Custo de manutenção da caminhonete</t>
  </si>
  <si>
    <t>Custo jg. compl. + 0 recap./ km rodado</t>
  </si>
  <si>
    <t>3.2. Veículo Caminhonete 4x4</t>
  </si>
  <si>
    <t>3.2.1. Depreciação</t>
  </si>
  <si>
    <t>3.2.2. Remuneração do Capital</t>
  </si>
  <si>
    <t>3.2.3. Impostos e Seguros</t>
  </si>
  <si>
    <t>3.2.4. Consumos</t>
  </si>
  <si>
    <t>3.2.5. Manutenção</t>
  </si>
  <si>
    <t>3.2.6. Pneus</t>
  </si>
  <si>
    <t>Forcado</t>
  </si>
  <si>
    <t>Horas Extras (100%)</t>
  </si>
  <si>
    <t>hora</t>
  </si>
  <si>
    <t>Horas Extras (50%)</t>
  </si>
  <si>
    <t>Descanso Semanal Remunerado (DSR) - hora extra</t>
  </si>
  <si>
    <t>Total por Gerente</t>
  </si>
  <si>
    <t>3.1.1. Depreciação</t>
  </si>
  <si>
    <t>3.1.2. Remuneração do Capital</t>
  </si>
  <si>
    <t>Obs.: Foi prevista a remuneração de 10% que contempla eventual necessidade de substituição de equipamentos coletores que estiverem fora de operação conforme orientação do TCE/RS (Item 3.8 da Orientação Técnica).</t>
  </si>
  <si>
    <t>Para os cargos de coletor e motorista foram considerados 23 dias, pois aos sábados o serviço será realizado por apenas uma equipe (1 motorista e 3 garis).</t>
  </si>
  <si>
    <t>1.8. Plano de Beneficio Social Familiar (mensal)</t>
  </si>
  <si>
    <t>-</t>
  </si>
  <si>
    <t>Custo mensal com Arla 32</t>
  </si>
  <si>
    <t>Arla 32</t>
  </si>
  <si>
    <t>Botina de segurança c/ biqueira de aço</t>
  </si>
  <si>
    <t>Botina de segurança c/ biqueira aço</t>
  </si>
  <si>
    <t>Custo do jogo de pneus 215/80 R16"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</si>
</sst>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-* #,##0.000_-;\-* #,##0.000_-;_-* &quot;-&quot;??_-;_-@_-"/>
    <numFmt numFmtId="171" formatCode="_-* #,##0.00_-;\-* #,##0.00_-;_-* &quot;-&quot;?_-;_-@_-"/>
    <numFmt numFmtId="172" formatCode="_-* #,##0_-;\-* #,##0_-;_-* &quot;-&quot;?_-;_-@_-"/>
    <numFmt numFmtId="173" formatCode="_(* #,##0.000000_);_(* \(#,##0.00000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81"/>
      <name val="Tahoma"/>
      <charset val="1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62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5" fontId="0" fillId="0" borderId="0" xfId="3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3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3" applyFont="1" applyAlignment="1">
      <alignment horizontal="center" vertical="center"/>
    </xf>
    <xf numFmtId="165" fontId="3" fillId="2" borderId="4" xfId="3" applyFont="1" applyFill="1" applyBorder="1" applyAlignment="1">
      <alignment horizontal="center" vertical="center"/>
    </xf>
    <xf numFmtId="165" fontId="3" fillId="2" borderId="4" xfId="3" applyFont="1" applyFill="1" applyBorder="1" applyAlignment="1">
      <alignment vertical="center"/>
    </xf>
    <xf numFmtId="165" fontId="3" fillId="0" borderId="0" xfId="3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5" fontId="3" fillId="0" borderId="6" xfId="3" applyFont="1" applyBorder="1" applyAlignment="1">
      <alignment vertical="center"/>
    </xf>
    <xf numFmtId="165" fontId="3" fillId="0" borderId="7" xfId="3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5" fontId="6" fillId="0" borderId="6" xfId="3" applyFont="1" applyBorder="1" applyAlignment="1">
      <alignment vertical="center"/>
    </xf>
    <xf numFmtId="165" fontId="6" fillId="0" borderId="7" xfId="3" applyFont="1" applyBorder="1" applyAlignment="1">
      <alignment vertical="center"/>
    </xf>
    <xf numFmtId="165" fontId="3" fillId="0" borderId="0" xfId="3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165" fontId="3" fillId="0" borderId="0" xfId="3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5" fillId="0" borderId="0" xfId="3" applyFont="1" applyAlignment="1">
      <alignment vertical="center"/>
    </xf>
    <xf numFmtId="166" fontId="6" fillId="0" borderId="1" xfId="3" applyNumberFormat="1" applyFont="1" applyBorder="1" applyAlignment="1">
      <alignment vertical="center"/>
    </xf>
    <xf numFmtId="165" fontId="6" fillId="0" borderId="0" xfId="3" applyFont="1"/>
    <xf numFmtId="165" fontId="0" fillId="0" borderId="11" xfId="3" applyFont="1" applyBorder="1" applyAlignment="1">
      <alignment vertical="center"/>
    </xf>
    <xf numFmtId="165" fontId="3" fillId="0" borderId="12" xfId="3" applyFont="1" applyBorder="1" applyAlignment="1">
      <alignment horizontal="center" vertical="center"/>
    </xf>
    <xf numFmtId="165" fontId="3" fillId="0" borderId="5" xfId="3" applyFont="1" applyBorder="1" applyAlignment="1">
      <alignment horizontal="left" vertical="center"/>
    </xf>
    <xf numFmtId="4" fontId="3" fillId="0" borderId="6" xfId="0" applyNumberFormat="1" applyFont="1" applyBorder="1" applyAlignment="1">
      <alignment horizontal="centerContinuous" vertical="center"/>
    </xf>
    <xf numFmtId="165" fontId="3" fillId="0" borderId="0" xfId="3" applyFont="1" applyAlignment="1">
      <alignment vertical="center"/>
    </xf>
    <xf numFmtId="165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Continuous" vertical="center"/>
    </xf>
    <xf numFmtId="165" fontId="0" fillId="0" borderId="9" xfId="3" applyFont="1" applyBorder="1" applyAlignment="1">
      <alignment vertical="center"/>
    </xf>
    <xf numFmtId="165" fontId="3" fillId="0" borderId="13" xfId="3" applyFont="1" applyBorder="1" applyAlignment="1">
      <alignment horizontal="right" vertical="center"/>
    </xf>
    <xf numFmtId="165" fontId="0" fillId="0" borderId="14" xfId="3" applyFont="1" applyBorder="1" applyAlignment="1">
      <alignment vertical="center"/>
    </xf>
    <xf numFmtId="165" fontId="6" fillId="0" borderId="1" xfId="3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5" fontId="6" fillId="0" borderId="0" xfId="3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0" xfId="3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165" fontId="13" fillId="2" borderId="17" xfId="3" applyFont="1" applyFill="1" applyBorder="1" applyAlignment="1">
      <alignment horizontal="center" vertical="center"/>
    </xf>
    <xf numFmtId="165" fontId="13" fillId="2" borderId="18" xfId="3" applyFont="1" applyFill="1" applyBorder="1" applyAlignment="1">
      <alignment horizontal="center" vertical="center"/>
    </xf>
    <xf numFmtId="165" fontId="3" fillId="0" borderId="19" xfId="3" applyFont="1" applyBorder="1" applyAlignment="1">
      <alignment horizontal="center" vertical="center"/>
    </xf>
    <xf numFmtId="165" fontId="1" fillId="0" borderId="14" xfId="3" applyFont="1" applyBorder="1" applyAlignment="1">
      <alignment horizontal="left" vertical="center"/>
    </xf>
    <xf numFmtId="165" fontId="6" fillId="0" borderId="9" xfId="3" applyFont="1" applyBorder="1" applyAlignment="1">
      <alignment vertical="center"/>
    </xf>
    <xf numFmtId="165" fontId="6" fillId="0" borderId="14" xfId="3" applyFont="1" applyBorder="1" applyAlignment="1">
      <alignment vertical="center"/>
    </xf>
    <xf numFmtId="166" fontId="6" fillId="0" borderId="0" xfId="3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0" xfId="3" applyNumberFormat="1" applyFont="1" applyBorder="1" applyAlignment="1">
      <alignment horizontal="center" vertical="center"/>
    </xf>
    <xf numFmtId="165" fontId="3" fillId="0" borderId="28" xfId="3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165" fontId="6" fillId="0" borderId="19" xfId="3" applyFont="1" applyBorder="1" applyAlignment="1">
      <alignment vertical="center"/>
    </xf>
    <xf numFmtId="165" fontId="6" fillId="0" borderId="11" xfId="3" applyFont="1" applyBorder="1" applyAlignment="1">
      <alignment vertical="center"/>
    </xf>
    <xf numFmtId="0" fontId="0" fillId="0" borderId="11" xfId="0" applyBorder="1" applyAlignment="1">
      <alignment vertical="center"/>
    </xf>
    <xf numFmtId="1" fontId="6" fillId="0" borderId="12" xfId="3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9" xfId="0" applyBorder="1" applyAlignment="1">
      <alignment vertical="center"/>
    </xf>
    <xf numFmtId="1" fontId="3" fillId="0" borderId="31" xfId="3" applyNumberFormat="1" applyFont="1" applyBorder="1" applyAlignment="1">
      <alignment horizontal="center" vertical="center"/>
    </xf>
    <xf numFmtId="165" fontId="12" fillId="0" borderId="1" xfId="3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5" fontId="3" fillId="2" borderId="4" xfId="3" applyNumberFormat="1" applyFont="1" applyFill="1" applyBorder="1" applyAlignment="1">
      <alignment horizontal="center" vertical="center"/>
    </xf>
    <xf numFmtId="165" fontId="6" fillId="0" borderId="1" xfId="3" applyFont="1" applyFill="1" applyBorder="1" applyAlignment="1">
      <alignment horizontal="center" vertical="center"/>
    </xf>
    <xf numFmtId="165" fontId="11" fillId="0" borderId="0" xfId="3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2" xfId="3" applyFont="1" applyFill="1" applyBorder="1" applyAlignment="1">
      <alignment horizontal="center" vertical="center"/>
    </xf>
    <xf numFmtId="165" fontId="6" fillId="3" borderId="1" xfId="3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165" fontId="6" fillId="3" borderId="0" xfId="3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166" fontId="6" fillId="0" borderId="1" xfId="3" applyNumberFormat="1" applyFont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167" fontId="6" fillId="3" borderId="2" xfId="3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horizontal="center" vertical="center"/>
    </xf>
    <xf numFmtId="166" fontId="6" fillId="0" borderId="1" xfId="3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165" fontId="6" fillId="0" borderId="2" xfId="3" applyFont="1" applyFill="1" applyBorder="1" applyAlignment="1">
      <alignment horizontal="center" vertical="center"/>
    </xf>
    <xf numFmtId="0" fontId="8" fillId="0" borderId="0" xfId="1" applyAlignment="1" applyProtection="1">
      <alignment vertical="center"/>
    </xf>
    <xf numFmtId="0" fontId="3" fillId="0" borderId="0" xfId="0" applyFont="1"/>
    <xf numFmtId="0" fontId="13" fillId="2" borderId="32" xfId="0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165" fontId="13" fillId="2" borderId="33" xfId="3" applyFont="1" applyFill="1" applyBorder="1" applyAlignment="1">
      <alignment horizontal="center" vertical="center"/>
    </xf>
    <xf numFmtId="165" fontId="6" fillId="0" borderId="0" xfId="3" applyFont="1" applyFill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164" fontId="3" fillId="0" borderId="34" xfId="0" applyNumberFormat="1" applyFont="1" applyBorder="1" applyAlignment="1">
      <alignment vertical="center"/>
    </xf>
    <xf numFmtId="165" fontId="3" fillId="0" borderId="35" xfId="3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3" applyFont="1" applyAlignment="1">
      <alignment horizontal="center" vertical="center"/>
    </xf>
    <xf numFmtId="165" fontId="3" fillId="0" borderId="3" xfId="3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6" fillId="0" borderId="0" xfId="3" applyFont="1" applyAlignment="1">
      <alignment horizontal="right" vertical="center"/>
    </xf>
    <xf numFmtId="165" fontId="3" fillId="2" borderId="7" xfId="3" applyFont="1" applyFill="1" applyBorder="1" applyAlignment="1">
      <alignment horizontal="center" vertical="center"/>
    </xf>
    <xf numFmtId="165" fontId="3" fillId="0" borderId="14" xfId="3" applyFont="1" applyBorder="1" applyAlignment="1">
      <alignment vertical="center"/>
    </xf>
    <xf numFmtId="165" fontId="3" fillId="0" borderId="9" xfId="0" applyNumberFormat="1" applyFont="1" applyBorder="1" applyAlignment="1">
      <alignment vertical="center"/>
    </xf>
    <xf numFmtId="165" fontId="3" fillId="0" borderId="9" xfId="3" applyFont="1" applyBorder="1" applyAlignment="1">
      <alignment vertical="center"/>
    </xf>
    <xf numFmtId="10" fontId="3" fillId="0" borderId="15" xfId="2" applyNumberFormat="1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6" fillId="0" borderId="39" xfId="3" applyFont="1" applyBorder="1" applyAlignment="1">
      <alignment vertical="center"/>
    </xf>
    <xf numFmtId="165" fontId="3" fillId="0" borderId="14" xfId="3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5" fontId="6" fillId="6" borderId="1" xfId="3" applyFont="1" applyFill="1" applyBorder="1" applyAlignment="1">
      <alignment horizontal="center" vertical="center"/>
    </xf>
    <xf numFmtId="165" fontId="6" fillId="6" borderId="1" xfId="3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8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9" xfId="3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166" fontId="3" fillId="0" borderId="0" xfId="3" applyNumberFormat="1" applyFont="1" applyBorder="1" applyAlignment="1">
      <alignment horizontal="center" vertical="center"/>
    </xf>
    <xf numFmtId="0" fontId="18" fillId="0" borderId="14" xfId="0" applyFont="1" applyBorder="1"/>
    <xf numFmtId="0" fontId="6" fillId="0" borderId="0" xfId="0" applyFont="1" applyBorder="1"/>
    <xf numFmtId="0" fontId="18" fillId="0" borderId="45" xfId="0" applyFont="1" applyBorder="1"/>
    <xf numFmtId="0" fontId="18" fillId="3" borderId="20" xfId="0" applyFont="1" applyFill="1" applyBorder="1"/>
    <xf numFmtId="0" fontId="18" fillId="0" borderId="23" xfId="0" applyFont="1" applyBorder="1"/>
    <xf numFmtId="0" fontId="18" fillId="0" borderId="46" xfId="0" applyFont="1" applyBorder="1"/>
    <xf numFmtId="0" fontId="18" fillId="0" borderId="20" xfId="0" applyFont="1" applyBorder="1"/>
    <xf numFmtId="0" fontId="18" fillId="0" borderId="28" xfId="0" applyFont="1" applyBorder="1"/>
    <xf numFmtId="2" fontId="19" fillId="7" borderId="1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2" fontId="19" fillId="7" borderId="36" xfId="0" applyNumberFormat="1" applyFont="1" applyFill="1" applyBorder="1" applyAlignment="1">
      <alignment horizontal="right" vertical="center"/>
    </xf>
    <xf numFmtId="0" fontId="19" fillId="0" borderId="2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20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20" xfId="0" applyNumberFormat="1" applyFont="1" applyBorder="1" applyAlignment="1">
      <alignment horizontal="right" vertical="center"/>
    </xf>
    <xf numFmtId="0" fontId="19" fillId="5" borderId="23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horizontal="left" vertical="center"/>
    </xf>
    <xf numFmtId="10" fontId="23" fillId="5" borderId="20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6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6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9" borderId="24" xfId="0" applyFont="1" applyFill="1" applyBorder="1" applyAlignment="1">
      <alignment horizontal="left" vertical="center"/>
    </xf>
    <xf numFmtId="0" fontId="23" fillId="9" borderId="36" xfId="0" applyFont="1" applyFill="1" applyBorder="1" applyAlignment="1">
      <alignment horizontal="left" vertical="center"/>
    </xf>
    <xf numFmtId="10" fontId="23" fillId="9" borderId="3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4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8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8" fillId="0" borderId="0" xfId="1" applyFont="1" applyBorder="1" applyAlignment="1" applyProtection="1">
      <alignment vertical="center"/>
    </xf>
    <xf numFmtId="0" fontId="5" fillId="0" borderId="15" xfId="0" applyFont="1" applyBorder="1"/>
    <xf numFmtId="0" fontId="5" fillId="0" borderId="23" xfId="0" applyFont="1" applyBorder="1"/>
    <xf numFmtId="0" fontId="5" fillId="3" borderId="20" xfId="0" applyFont="1" applyFill="1" applyBorder="1"/>
    <xf numFmtId="0" fontId="5" fillId="0" borderId="45" xfId="0" applyFont="1" applyBorder="1"/>
    <xf numFmtId="0" fontId="5" fillId="3" borderId="46" xfId="0" applyFont="1" applyFill="1" applyBorder="1"/>
    <xf numFmtId="0" fontId="5" fillId="0" borderId="47" xfId="0" applyFont="1" applyBorder="1"/>
    <xf numFmtId="0" fontId="5" fillId="3" borderId="48" xfId="0" applyFont="1" applyFill="1" applyBorder="1"/>
    <xf numFmtId="0" fontId="5" fillId="0" borderId="38" xfId="0" applyFont="1" applyBorder="1"/>
    <xf numFmtId="0" fontId="5" fillId="0" borderId="39" xfId="0" applyFont="1" applyBorder="1"/>
    <xf numFmtId="0" fontId="7" fillId="0" borderId="46" xfId="0" applyFont="1" applyBorder="1"/>
    <xf numFmtId="0" fontId="7" fillId="0" borderId="38" xfId="0" applyFont="1" applyFill="1" applyBorder="1" applyAlignment="1">
      <alignment horizontal="left" vertical="center"/>
    </xf>
    <xf numFmtId="0" fontId="5" fillId="0" borderId="0" xfId="0" applyFont="1" applyBorder="1"/>
    <xf numFmtId="9" fontId="5" fillId="0" borderId="23" xfId="2" applyFont="1" applyBorder="1"/>
    <xf numFmtId="9" fontId="5" fillId="0" borderId="1" xfId="2" applyFont="1" applyBorder="1" applyAlignment="1">
      <alignment horizontal="center"/>
    </xf>
    <xf numFmtId="9" fontId="5" fillId="0" borderId="20" xfId="2" applyFont="1" applyBorder="1"/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10" fontId="5" fillId="3" borderId="12" xfId="0" applyNumberFormat="1" applyFont="1" applyFill="1" applyBorder="1" applyAlignment="1">
      <alignment horizontal="center" vertical="center"/>
    </xf>
    <xf numFmtId="10" fontId="5" fillId="0" borderId="20" xfId="2" applyNumberFormat="1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0" fontId="5" fillId="3" borderId="20" xfId="0" applyNumberFormat="1" applyFont="1" applyFill="1" applyBorder="1" applyAlignment="1">
      <alignment horizontal="center" vertical="center"/>
    </xf>
    <xf numFmtId="10" fontId="5" fillId="0" borderId="20" xfId="0" applyNumberFormat="1" applyFont="1" applyFill="1" applyBorder="1" applyAlignment="1">
      <alignment horizontal="center" vertical="center"/>
    </xf>
    <xf numFmtId="10" fontId="5" fillId="3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20" xfId="0" applyFont="1" applyBorder="1"/>
    <xf numFmtId="0" fontId="5" fillId="0" borderId="24" xfId="0" applyFont="1" applyFill="1" applyBorder="1" applyAlignment="1">
      <alignment horizontal="left" vertical="center"/>
    </xf>
    <xf numFmtId="10" fontId="5" fillId="3" borderId="3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0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/>
    </xf>
    <xf numFmtId="10" fontId="7" fillId="5" borderId="7" xfId="0" applyNumberFormat="1" applyFont="1" applyFill="1" applyBorder="1" applyAlignment="1">
      <alignment horizontal="center" vertical="center" wrapText="1"/>
    </xf>
    <xf numFmtId="10" fontId="5" fillId="0" borderId="23" xfId="2" applyNumberFormat="1" applyFont="1" applyBorder="1" applyAlignment="1">
      <alignment horizontal="right"/>
    </xf>
    <xf numFmtId="10" fontId="5" fillId="0" borderId="1" xfId="2" applyNumberFormat="1" applyFont="1" applyBorder="1" applyAlignment="1">
      <alignment horizontal="right"/>
    </xf>
    <xf numFmtId="10" fontId="5" fillId="0" borderId="20" xfId="2" applyNumberFormat="1" applyFont="1" applyBorder="1" applyAlignment="1">
      <alignment horizontal="right"/>
    </xf>
    <xf numFmtId="10" fontId="5" fillId="0" borderId="24" xfId="2" applyNumberFormat="1" applyFont="1" applyBorder="1" applyAlignment="1">
      <alignment horizontal="right"/>
    </xf>
    <xf numFmtId="10" fontId="5" fillId="0" borderId="36" xfId="2" applyNumberFormat="1" applyFont="1" applyBorder="1" applyAlignment="1">
      <alignment horizontal="right"/>
    </xf>
    <xf numFmtId="10" fontId="5" fillId="0" borderId="37" xfId="2" applyNumberFormat="1" applyFont="1" applyBorder="1" applyAlignment="1">
      <alignment horizontal="right"/>
    </xf>
    <xf numFmtId="0" fontId="6" fillId="0" borderId="50" xfId="0" applyFont="1" applyBorder="1"/>
    <xf numFmtId="0" fontId="20" fillId="0" borderId="50" xfId="0" applyFont="1" applyBorder="1" applyAlignment="1">
      <alignment horizontal="justify"/>
    </xf>
    <xf numFmtId="0" fontId="20" fillId="0" borderId="51" xfId="0" applyFont="1" applyBorder="1" applyAlignment="1">
      <alignment horizontal="justify"/>
    </xf>
    <xf numFmtId="0" fontId="17" fillId="10" borderId="49" xfId="0" applyFont="1" applyFill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5" fontId="6" fillId="3" borderId="9" xfId="3" applyNumberFormat="1" applyFont="1" applyFill="1" applyBorder="1" applyAlignment="1">
      <alignment vertical="center"/>
    </xf>
    <xf numFmtId="165" fontId="6" fillId="0" borderId="10" xfId="3" applyFont="1" applyBorder="1" applyAlignment="1">
      <alignment vertical="center"/>
    </xf>
    <xf numFmtId="165" fontId="3" fillId="0" borderId="7" xfId="3" applyFont="1" applyBorder="1" applyAlignment="1">
      <alignment horizontal="right" vertical="center"/>
    </xf>
    <xf numFmtId="165" fontId="3" fillId="2" borderId="4" xfId="3" applyFont="1" applyFill="1" applyBorder="1" applyAlignment="1">
      <alignment horizontal="right" vertical="center"/>
    </xf>
    <xf numFmtId="168" fontId="3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3" fillId="0" borderId="36" xfId="0" applyNumberFormat="1" applyFont="1" applyBorder="1" applyAlignment="1">
      <alignment vertical="center"/>
    </xf>
    <xf numFmtId="165" fontId="3" fillId="0" borderId="11" xfId="3" applyFont="1" applyBorder="1" applyAlignment="1">
      <alignment vertical="center"/>
    </xf>
    <xf numFmtId="165" fontId="3" fillId="0" borderId="5" xfId="3" applyFont="1" applyBorder="1" applyAlignment="1">
      <alignment vertical="center"/>
    </xf>
    <xf numFmtId="9" fontId="3" fillId="3" borderId="7" xfId="2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5" fontId="3" fillId="0" borderId="9" xfId="3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167" fontId="6" fillId="0" borderId="1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6" fillId="0" borderId="2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52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165" fontId="3" fillId="0" borderId="52" xfId="3" applyFont="1" applyBorder="1" applyAlignment="1">
      <alignment horizontal="center" vertical="center"/>
    </xf>
    <xf numFmtId="165" fontId="3" fillId="0" borderId="52" xfId="3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Fill="1"/>
    <xf numFmtId="0" fontId="7" fillId="0" borderId="23" xfId="0" applyFont="1" applyBorder="1"/>
    <xf numFmtId="0" fontId="7" fillId="0" borderId="1" xfId="0" applyFont="1" applyBorder="1"/>
    <xf numFmtId="0" fontId="7" fillId="0" borderId="20" xfId="0" applyFont="1" applyBorder="1"/>
    <xf numFmtId="0" fontId="5" fillId="0" borderId="23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170" fontId="24" fillId="0" borderId="20" xfId="3" applyNumberFormat="1" applyFont="1" applyBorder="1" applyAlignment="1">
      <alignment horizontal="center" vertical="center" wrapText="1"/>
    </xf>
    <xf numFmtId="171" fontId="5" fillId="0" borderId="20" xfId="0" applyNumberFormat="1" applyFont="1" applyBorder="1"/>
    <xf numFmtId="2" fontId="5" fillId="0" borderId="20" xfId="0" applyNumberFormat="1" applyFont="1" applyBorder="1"/>
    <xf numFmtId="0" fontId="5" fillId="0" borderId="24" xfId="0" applyFont="1" applyFill="1" applyBorder="1"/>
    <xf numFmtId="0" fontId="5" fillId="0" borderId="36" xfId="0" applyFont="1" applyBorder="1"/>
    <xf numFmtId="171" fontId="5" fillId="3" borderId="20" xfId="0" applyNumberFormat="1" applyFont="1" applyFill="1" applyBorder="1"/>
    <xf numFmtId="171" fontId="5" fillId="0" borderId="37" xfId="0" applyNumberFormat="1" applyFont="1" applyBorder="1"/>
    <xf numFmtId="0" fontId="17" fillId="0" borderId="1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72" fontId="5" fillId="3" borderId="20" xfId="0" applyNumberFormat="1" applyFont="1" applyFill="1" applyBorder="1"/>
    <xf numFmtId="0" fontId="5" fillId="0" borderId="23" xfId="0" applyFont="1" applyBorder="1" applyAlignment="1">
      <alignment horizontal="right"/>
    </xf>
    <xf numFmtId="4" fontId="32" fillId="0" borderId="0" xfId="0" applyNumberFormat="1" applyFont="1" applyBorder="1" applyAlignment="1">
      <alignment vertical="center"/>
    </xf>
    <xf numFmtId="0" fontId="5" fillId="0" borderId="20" xfId="0" applyFont="1" applyFill="1" applyBorder="1"/>
    <xf numFmtId="0" fontId="31" fillId="0" borderId="0" xfId="0" applyFont="1"/>
    <xf numFmtId="0" fontId="1" fillId="0" borderId="2" xfId="0" applyFont="1" applyBorder="1" applyAlignment="1">
      <alignment vertical="center"/>
    </xf>
    <xf numFmtId="169" fontId="7" fillId="0" borderId="20" xfId="0" applyNumberFormat="1" applyFont="1" applyBorder="1"/>
    <xf numFmtId="9" fontId="18" fillId="0" borderId="20" xfId="2" applyFont="1" applyBorder="1"/>
    <xf numFmtId="10" fontId="18" fillId="0" borderId="20" xfId="2" applyNumberFormat="1" applyFont="1" applyBorder="1"/>
    <xf numFmtId="9" fontId="7" fillId="0" borderId="31" xfId="2" applyFont="1" applyBorder="1"/>
    <xf numFmtId="0" fontId="5" fillId="0" borderId="53" xfId="0" applyFont="1" applyBorder="1"/>
    <xf numFmtId="165" fontId="1" fillId="3" borderId="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0" xfId="3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1" fillId="3" borderId="2" xfId="3" applyFont="1" applyFill="1" applyBorder="1" applyAlignment="1">
      <alignment horizontal="center" vertical="center"/>
    </xf>
    <xf numFmtId="165" fontId="1" fillId="0" borderId="2" xfId="3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65" fontId="1" fillId="0" borderId="1" xfId="3" applyFont="1" applyBorder="1" applyAlignment="1">
      <alignment horizontal="center" vertical="center"/>
    </xf>
    <xf numFmtId="165" fontId="1" fillId="0" borderId="1" xfId="3" applyFont="1" applyFill="1" applyBorder="1" applyAlignment="1">
      <alignment horizontal="center" vertical="center"/>
    </xf>
    <xf numFmtId="165" fontId="1" fillId="6" borderId="1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3" fontId="6" fillId="3" borderId="1" xfId="0" applyNumberFormat="1" applyFont="1" applyFill="1" applyBorder="1" applyAlignment="1">
      <alignment vertical="center"/>
    </xf>
    <xf numFmtId="1" fontId="6" fillId="0" borderId="1" xfId="3" applyNumberFormat="1" applyFont="1" applyBorder="1" applyAlignment="1">
      <alignment horizontal="center" vertical="center"/>
    </xf>
    <xf numFmtId="165" fontId="6" fillId="0" borderId="8" xfId="3" applyFont="1" applyBorder="1" applyAlignment="1">
      <alignment vertical="center"/>
    </xf>
    <xf numFmtId="165" fontId="3" fillId="2" borderId="0" xfId="3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166" fontId="6" fillId="0" borderId="1" xfId="3" applyNumberFormat="1" applyFont="1" applyFill="1" applyBorder="1" applyAlignment="1">
      <alignment horizontal="center" vertical="center"/>
    </xf>
    <xf numFmtId="167" fontId="6" fillId="3" borderId="1" xfId="3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173" fontId="6" fillId="0" borderId="0" xfId="3" applyNumberFormat="1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4" xfId="0" applyFont="1" applyFill="1" applyBorder="1" applyAlignment="1">
      <alignment horizontal="left" vertical="center"/>
    </xf>
    <xf numFmtId="0" fontId="2" fillId="3" borderId="55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65" fontId="3" fillId="0" borderId="14" xfId="3" applyFont="1" applyBorder="1" applyAlignment="1">
      <alignment horizontal="left" vertical="center"/>
    </xf>
    <xf numFmtId="165" fontId="3" fillId="0" borderId="9" xfId="3" applyFont="1" applyBorder="1" applyAlignment="1">
      <alignment horizontal="left" vertical="center"/>
    </xf>
    <xf numFmtId="0" fontId="17" fillId="8" borderId="25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/>
    </xf>
    <xf numFmtId="0" fontId="17" fillId="8" borderId="27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0" xfId="0" applyFont="1" applyFill="1" applyBorder="1" applyAlignment="1">
      <alignment horizontal="center" vertical="center"/>
    </xf>
    <xf numFmtId="0" fontId="7" fillId="8" borderId="43" xfId="0" applyFont="1" applyFill="1" applyBorder="1" applyAlignment="1">
      <alignment horizontal="center" vertical="center"/>
    </xf>
    <xf numFmtId="165" fontId="3" fillId="0" borderId="5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3" fillId="0" borderId="41" xfId="3" applyFont="1" applyBorder="1" applyAlignment="1">
      <alignment horizontal="center" vertical="center"/>
    </xf>
    <xf numFmtId="165" fontId="4" fillId="8" borderId="5" xfId="3" applyFont="1" applyFill="1" applyBorder="1" applyAlignment="1">
      <alignment horizontal="center" vertical="center"/>
    </xf>
    <xf numFmtId="165" fontId="4" fillId="8" borderId="6" xfId="3" applyFont="1" applyFill="1" applyBorder="1" applyAlignment="1">
      <alignment horizontal="center" vertical="center"/>
    </xf>
    <xf numFmtId="165" fontId="4" fillId="8" borderId="7" xfId="3" applyFont="1" applyFill="1" applyBorder="1" applyAlignment="1">
      <alignment horizontal="center" vertical="center"/>
    </xf>
    <xf numFmtId="0" fontId="17" fillId="8" borderId="21" xfId="0" applyFont="1" applyFill="1" applyBorder="1" applyAlignment="1">
      <alignment horizontal="center" vertical="center"/>
    </xf>
    <xf numFmtId="0" fontId="17" fillId="8" borderId="2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10" borderId="19" xfId="0" applyFont="1" applyFill="1" applyBorder="1" applyAlignment="1">
      <alignment horizontal="center"/>
    </xf>
    <xf numFmtId="0" fontId="17" fillId="10" borderId="44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7" fillId="0" borderId="21" xfId="2" applyFont="1" applyBorder="1" applyAlignment="1">
      <alignment horizontal="center"/>
    </xf>
    <xf numFmtId="9" fontId="7" fillId="0" borderId="22" xfId="2" applyFont="1" applyBorder="1" applyAlignment="1">
      <alignment horizontal="center"/>
    </xf>
    <xf numFmtId="9" fontId="7" fillId="0" borderId="12" xfId="2" applyFont="1" applyBorder="1" applyAlignment="1">
      <alignment horizontal="center"/>
    </xf>
    <xf numFmtId="0" fontId="4" fillId="10" borderId="25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17" fillId="10" borderId="21" xfId="0" applyFont="1" applyFill="1" applyBorder="1" applyAlignment="1">
      <alignment horizontal="center"/>
    </xf>
    <xf numFmtId="0" fontId="17" fillId="10" borderId="22" xfId="0" applyFont="1" applyFill="1" applyBorder="1" applyAlignment="1">
      <alignment horizontal="center"/>
    </xf>
    <xf numFmtId="0" fontId="17" fillId="10" borderId="12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Porcentagem" xfId="2" builtinId="5"/>
    <cellStyle name="Vírgula" xfId="3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Planilha_modelo_TCE_Coleta_v_11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oleta Domiciliar"/>
      <sheetName val="2.Encargos Sociais"/>
      <sheetName val="3.CAGED"/>
      <sheetName val="4.BDI"/>
      <sheetName val="5. Depreciação"/>
      <sheetName val="6.Remuneração de capital"/>
      <sheetName val="7. Dimensionamento"/>
    </sheetNames>
    <sheetDataSet>
      <sheetData sheetId="0"/>
      <sheetData sheetId="1">
        <row r="37">
          <cell r="C37">
            <v>0.70595951999999995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67"/>
  <sheetViews>
    <sheetView tabSelected="1" view="pageBreakPreview" topLeftCell="A328" zoomScaleNormal="100" zoomScaleSheetLayoutView="100" workbookViewId="0">
      <selection activeCell="G364" sqref="G364"/>
    </sheetView>
  </sheetViews>
  <sheetFormatPr defaultColWidth="9.140625" defaultRowHeight="12.75" x14ac:dyDescent="0.2"/>
  <cols>
    <col min="1" max="1" width="44.5703125" style="9" customWidth="1"/>
    <col min="2" max="2" width="16" style="9" bestFit="1" customWidth="1"/>
    <col min="3" max="3" width="11.85546875" style="9" customWidth="1"/>
    <col min="4" max="4" width="14.7109375" style="10" customWidth="1"/>
    <col min="5" max="5" width="15.42578125" style="10" customWidth="1"/>
    <col min="6" max="6" width="13.28515625" style="10" customWidth="1"/>
    <col min="7" max="7" width="28.140625" style="10" customWidth="1"/>
    <col min="8" max="8" width="9.140625" style="9"/>
    <col min="9" max="9" width="14.5703125" style="9" customWidth="1"/>
    <col min="10" max="10" width="13.42578125" style="9" customWidth="1"/>
    <col min="11" max="16384" width="9.140625" style="9"/>
  </cols>
  <sheetData>
    <row r="1" spans="1:7" s="4" customFormat="1" ht="16.5" customHeight="1" thickBot="1" x14ac:dyDescent="0.25">
      <c r="A1" s="7"/>
      <c r="B1" s="5"/>
      <c r="C1" s="5"/>
      <c r="D1" s="6"/>
      <c r="E1" s="6"/>
      <c r="F1" s="6"/>
      <c r="G1" s="6"/>
    </row>
    <row r="2" spans="1:7" s="8" customFormat="1" ht="18" x14ac:dyDescent="0.2">
      <c r="A2" s="331" t="s">
        <v>210</v>
      </c>
      <c r="B2" s="332"/>
      <c r="C2" s="332"/>
      <c r="D2" s="332"/>
      <c r="E2" s="332"/>
      <c r="F2" s="333"/>
      <c r="G2" s="36"/>
    </row>
    <row r="3" spans="1:7" s="8" customFormat="1" ht="21.75" customHeight="1" x14ac:dyDescent="0.2">
      <c r="A3" s="334" t="s">
        <v>41</v>
      </c>
      <c r="B3" s="335"/>
      <c r="C3" s="335"/>
      <c r="D3" s="335"/>
      <c r="E3" s="335"/>
      <c r="F3" s="336"/>
      <c r="G3" s="36"/>
    </row>
    <row r="4" spans="1:7" s="4" customFormat="1" ht="10.9" customHeight="1" thickBot="1" x14ac:dyDescent="0.25">
      <c r="A4" s="140"/>
      <c r="B4" s="141"/>
      <c r="C4" s="141"/>
      <c r="D4" s="142"/>
      <c r="E4" s="142"/>
      <c r="F4" s="143"/>
      <c r="G4" s="6"/>
    </row>
    <row r="5" spans="1:7" s="4" customFormat="1" ht="15.75" customHeight="1" thickBot="1" x14ac:dyDescent="0.25">
      <c r="A5" s="340" t="s">
        <v>197</v>
      </c>
      <c r="B5" s="341"/>
      <c r="C5" s="341"/>
      <c r="D5" s="341"/>
      <c r="E5" s="341"/>
      <c r="F5" s="342"/>
      <c r="G5" s="6"/>
    </row>
    <row r="6" spans="1:7" s="4" customFormat="1" ht="15.75" customHeight="1" x14ac:dyDescent="0.2">
      <c r="A6" s="62" t="s">
        <v>196</v>
      </c>
      <c r="B6" s="39"/>
      <c r="C6" s="39"/>
      <c r="D6" s="249"/>
      <c r="E6" s="112" t="s">
        <v>36</v>
      </c>
      <c r="F6" s="40" t="s">
        <v>1</v>
      </c>
      <c r="G6" s="6"/>
    </row>
    <row r="7" spans="1:7" s="11" customFormat="1" ht="15.75" customHeight="1" x14ac:dyDescent="0.2">
      <c r="A7" s="121" t="str">
        <f>A50</f>
        <v>1. Mão-de-obra</v>
      </c>
      <c r="B7" s="122"/>
      <c r="C7" s="123"/>
      <c r="D7" s="123"/>
      <c r="E7" s="246">
        <f>+F127</f>
        <v>70714.011998138929</v>
      </c>
      <c r="F7" s="124">
        <f>IFERROR(E7/$E$34,0)</f>
        <v>0.35443710049918969</v>
      </c>
      <c r="G7" s="43"/>
    </row>
    <row r="8" spans="1:7" s="4" customFormat="1" ht="15.75" customHeight="1" x14ac:dyDescent="0.2">
      <c r="A8" s="48" t="str">
        <f>A52</f>
        <v>1.1. Coletor Turno Dia</v>
      </c>
      <c r="B8" s="44"/>
      <c r="C8" s="46"/>
      <c r="D8" s="46"/>
      <c r="E8" s="247">
        <f>F63</f>
        <v>39989.661803756375</v>
      </c>
      <c r="F8" s="124">
        <f t="shared" ref="F8:F34" si="0">IFERROR(E8/$E$34,0)</f>
        <v>0.20043863131453546</v>
      </c>
      <c r="G8" s="6"/>
    </row>
    <row r="9" spans="1:7" s="4" customFormat="1" ht="15.75" customHeight="1" x14ac:dyDescent="0.2">
      <c r="A9" s="48" t="str">
        <f>A65</f>
        <v>1.2. Motorista Turno do Dia</v>
      </c>
      <c r="B9" s="44"/>
      <c r="C9" s="46"/>
      <c r="D9" s="46"/>
      <c r="E9" s="247">
        <f>F78</f>
        <v>16973.667601586283</v>
      </c>
      <c r="F9" s="124">
        <f t="shared" si="0"/>
        <v>8.5076455988688793E-2</v>
      </c>
      <c r="G9" s="6"/>
    </row>
    <row r="10" spans="1:7" s="4" customFormat="1" ht="15.75" customHeight="1" x14ac:dyDescent="0.2">
      <c r="A10" s="48" t="str">
        <f>A80</f>
        <v>1.3. Gerente</v>
      </c>
      <c r="B10" s="44"/>
      <c r="C10" s="46"/>
      <c r="D10" s="46"/>
      <c r="E10" s="247">
        <f>F93</f>
        <v>5583.3132851039627</v>
      </c>
      <c r="F10" s="124">
        <f t="shared" si="0"/>
        <v>2.798502469359165E-2</v>
      </c>
      <c r="G10" s="6"/>
    </row>
    <row r="11" spans="1:7" s="4" customFormat="1" ht="15.75" customHeight="1" x14ac:dyDescent="0.2">
      <c r="A11" s="48" t="str">
        <f>A95</f>
        <v>1.5. Vale Transporte</v>
      </c>
      <c r="B11" s="44"/>
      <c r="C11" s="46"/>
      <c r="D11" s="46"/>
      <c r="E11" s="247">
        <f>F104</f>
        <v>2315.149307692308</v>
      </c>
      <c r="F11" s="124">
        <f t="shared" si="0"/>
        <v>1.1604133108198756E-2</v>
      </c>
      <c r="G11" s="6"/>
    </row>
    <row r="12" spans="1:7" s="4" customFormat="1" ht="15.75" customHeight="1" x14ac:dyDescent="0.2">
      <c r="A12" s="48" t="str">
        <f>A106</f>
        <v>1.6. Vale-refeição (diário)</v>
      </c>
      <c r="B12" s="44"/>
      <c r="C12" s="46"/>
      <c r="D12" s="46"/>
      <c r="E12" s="247">
        <f>F111</f>
        <v>5333.1</v>
      </c>
      <c r="F12" s="124">
        <f t="shared" si="0"/>
        <v>2.6730890346342909E-2</v>
      </c>
      <c r="G12" s="6"/>
    </row>
    <row r="13" spans="1:7" s="4" customFormat="1" ht="15.75" customHeight="1" x14ac:dyDescent="0.2">
      <c r="A13" s="48" t="str">
        <f>A113</f>
        <v>1.7. Auxílio Alimentação (mensal)</v>
      </c>
      <c r="B13" s="44"/>
      <c r="C13" s="46"/>
      <c r="D13" s="46"/>
      <c r="E13" s="247">
        <f>F118</f>
        <v>311.27999999999997</v>
      </c>
      <c r="F13" s="124">
        <f t="shared" si="0"/>
        <v>1.560216674543815E-3</v>
      </c>
      <c r="G13" s="6"/>
    </row>
    <row r="14" spans="1:7" s="4" customFormat="1" ht="15.75" customHeight="1" x14ac:dyDescent="0.2">
      <c r="A14" s="48" t="str">
        <f>A120</f>
        <v>1.8. Plano de Beneficio Social Familiar (mensal)</v>
      </c>
      <c r="B14" s="44"/>
      <c r="C14" s="46"/>
      <c r="D14" s="46"/>
      <c r="E14" s="247">
        <f>F125</f>
        <v>207.84</v>
      </c>
      <c r="F14" s="124">
        <f t="shared" si="0"/>
        <v>1.0417483732883144E-3</v>
      </c>
      <c r="G14" s="6"/>
    </row>
    <row r="15" spans="1:7" s="11" customFormat="1" ht="15.75" customHeight="1" x14ac:dyDescent="0.2">
      <c r="A15" s="329" t="str">
        <f>A129</f>
        <v>2. Uniformes e Equipamentos de Proteção Individual</v>
      </c>
      <c r="B15" s="330"/>
      <c r="C15" s="330"/>
      <c r="D15" s="123"/>
      <c r="E15" s="246">
        <f>+F161</f>
        <v>3038.333333333333</v>
      </c>
      <c r="F15" s="124">
        <f t="shared" si="0"/>
        <v>1.5228920359447951E-2</v>
      </c>
      <c r="G15" s="43"/>
    </row>
    <row r="16" spans="1:7" s="11" customFormat="1" ht="15.75" customHeight="1" x14ac:dyDescent="0.2">
      <c r="A16" s="128" t="str">
        <f>A163</f>
        <v>3. Veículos e Equipamentos</v>
      </c>
      <c r="B16" s="129"/>
      <c r="C16" s="123"/>
      <c r="D16" s="123"/>
      <c r="E16" s="246">
        <f>+F317</f>
        <v>84011.68697372968</v>
      </c>
      <c r="F16" s="124">
        <f t="shared" si="0"/>
        <v>0.42108852118018658</v>
      </c>
      <c r="G16" s="43"/>
    </row>
    <row r="17" spans="1:7" s="4" customFormat="1" ht="15.75" customHeight="1" x14ac:dyDescent="0.2">
      <c r="A17" s="63" t="str">
        <f>A165</f>
        <v>3.1. Veículo Coletor Compactador 12 m³</v>
      </c>
      <c r="B17" s="45"/>
      <c r="C17" s="46"/>
      <c r="D17" s="46"/>
      <c r="E17" s="247">
        <f>SUM(E18:E23)</f>
        <v>76395.142290396339</v>
      </c>
      <c r="F17" s="124">
        <f t="shared" si="0"/>
        <v>0.38291240958501593</v>
      </c>
      <c r="G17" s="6"/>
    </row>
    <row r="18" spans="1:7" s="4" customFormat="1" ht="15.75" customHeight="1" x14ac:dyDescent="0.2">
      <c r="A18" s="63" t="str">
        <f>A167</f>
        <v>3.1.1. Depreciação</v>
      </c>
      <c r="B18" s="45"/>
      <c r="C18" s="46"/>
      <c r="D18" s="46"/>
      <c r="E18" s="247">
        <f>F181</f>
        <v>13443.375</v>
      </c>
      <c r="F18" s="124">
        <f t="shared" si="0"/>
        <v>6.7381707264024232E-2</v>
      </c>
      <c r="G18" s="6"/>
    </row>
    <row r="19" spans="1:7" s="4" customFormat="1" ht="15.75" customHeight="1" x14ac:dyDescent="0.2">
      <c r="A19" s="63" t="str">
        <f>A184</f>
        <v>3.1.2. Remuneração do Capital</v>
      </c>
      <c r="B19" s="45"/>
      <c r="C19" s="46"/>
      <c r="D19" s="46"/>
      <c r="E19" s="247">
        <f>F198</f>
        <v>19312.512656250001</v>
      </c>
      <c r="F19" s="124">
        <f t="shared" si="0"/>
        <v>9.679935837066217E-2</v>
      </c>
      <c r="G19" s="6"/>
    </row>
    <row r="20" spans="1:7" s="4" customFormat="1" ht="15.75" customHeight="1" x14ac:dyDescent="0.2">
      <c r="A20" s="63" t="str">
        <f>A201</f>
        <v>3.1.3. Impostos e Seguros</v>
      </c>
      <c r="B20" s="45"/>
      <c r="C20" s="46"/>
      <c r="D20" s="46"/>
      <c r="E20" s="247">
        <f>F207</f>
        <v>2037.5</v>
      </c>
      <c r="F20" s="124">
        <f t="shared" si="0"/>
        <v>1.0212482248724696E-2</v>
      </c>
      <c r="G20" s="6"/>
    </row>
    <row r="21" spans="1:7" s="4" customFormat="1" ht="15.75" customHeight="1" x14ac:dyDescent="0.2">
      <c r="A21" s="63" t="str">
        <f>A209</f>
        <v>3.1.4. Consumos</v>
      </c>
      <c r="B21" s="45"/>
      <c r="C21" s="46"/>
      <c r="D21" s="46"/>
      <c r="E21" s="247">
        <f>F227</f>
        <v>30138.414634146342</v>
      </c>
      <c r="F21" s="124">
        <f t="shared" si="0"/>
        <v>0.15106160709493208</v>
      </c>
      <c r="G21" s="6"/>
    </row>
    <row r="22" spans="1:7" s="4" customFormat="1" ht="15.75" customHeight="1" x14ac:dyDescent="0.2">
      <c r="A22" s="63" t="str">
        <f>A229</f>
        <v>3.1.5. Manutenção</v>
      </c>
      <c r="B22" s="45"/>
      <c r="C22" s="46"/>
      <c r="D22" s="46"/>
      <c r="E22" s="247">
        <f>F232</f>
        <v>8049.9999999999991</v>
      </c>
      <c r="F22" s="124">
        <f t="shared" si="0"/>
        <v>4.0348702872261985E-2</v>
      </c>
      <c r="G22" s="6"/>
    </row>
    <row r="23" spans="1:7" s="4" customFormat="1" ht="15.75" customHeight="1" x14ac:dyDescent="0.2">
      <c r="A23" s="63" t="str">
        <f>A234</f>
        <v>3.1.6. Pneus</v>
      </c>
      <c r="B23" s="45"/>
      <c r="C23" s="46"/>
      <c r="D23" s="46"/>
      <c r="E23" s="247">
        <f>F241</f>
        <v>3413.34</v>
      </c>
      <c r="F23" s="124">
        <f t="shared" si="0"/>
        <v>1.7108551734410775E-2</v>
      </c>
      <c r="G23" s="6"/>
    </row>
    <row r="24" spans="1:7" s="4" customFormat="1" ht="15.75" customHeight="1" x14ac:dyDescent="0.2">
      <c r="A24" s="63" t="str">
        <f>A243</f>
        <v>3.2. Veículo Caminhonete 4x4</v>
      </c>
      <c r="B24" s="45"/>
      <c r="C24" s="46"/>
      <c r="D24" s="46"/>
      <c r="E24" s="247">
        <f>SUM(E25:E30)</f>
        <v>7616.5446833333335</v>
      </c>
      <c r="F24" s="124">
        <f t="shared" si="0"/>
        <v>3.8176111595170613E-2</v>
      </c>
      <c r="G24" s="6"/>
    </row>
    <row r="25" spans="1:7" s="4" customFormat="1" ht="15.75" customHeight="1" x14ac:dyDescent="0.2">
      <c r="A25" s="63" t="str">
        <f>A245</f>
        <v>3.2.1. Depreciação</v>
      </c>
      <c r="B25" s="45"/>
      <c r="C25" s="46"/>
      <c r="D25" s="46"/>
      <c r="E25" s="247">
        <f>F259</f>
        <v>1433.9600000000003</v>
      </c>
      <c r="F25" s="124">
        <f t="shared" si="0"/>
        <v>7.1873821081625856E-3</v>
      </c>
      <c r="G25" s="6"/>
    </row>
    <row r="26" spans="1:7" s="4" customFormat="1" ht="15.75" customHeight="1" x14ac:dyDescent="0.2">
      <c r="A26" s="63" t="str">
        <f>A261</f>
        <v>3.2.2. Remuneração do Capital</v>
      </c>
      <c r="B26" s="45"/>
      <c r="C26" s="46"/>
      <c r="D26" s="46"/>
      <c r="E26" s="247">
        <f>F275</f>
        <v>2060.0013500000005</v>
      </c>
      <c r="F26" s="124">
        <f t="shared" si="0"/>
        <v>1.0325264892870632E-2</v>
      </c>
      <c r="G26" s="6"/>
    </row>
    <row r="27" spans="1:7" s="4" customFormat="1" ht="15.75" customHeight="1" x14ac:dyDescent="0.2">
      <c r="A27" s="63" t="str">
        <f>A277</f>
        <v>3.2.3. Impostos e Seguros</v>
      </c>
      <c r="B27" s="45"/>
      <c r="C27" s="46"/>
      <c r="D27" s="46"/>
      <c r="E27" s="247">
        <f>F283</f>
        <v>1640.8333333333333</v>
      </c>
      <c r="F27" s="124">
        <f t="shared" si="0"/>
        <v>8.224285295598743E-3</v>
      </c>
      <c r="G27" s="6"/>
    </row>
    <row r="28" spans="1:7" s="4" customFormat="1" ht="15.75" customHeight="1" x14ac:dyDescent="0.2">
      <c r="A28" s="63" t="str">
        <f>A285</f>
        <v>3.2.4. Consumos</v>
      </c>
      <c r="B28" s="45"/>
      <c r="C28" s="46"/>
      <c r="D28" s="46"/>
      <c r="E28" s="247">
        <f>F301</f>
        <v>1243.75</v>
      </c>
      <c r="F28" s="124">
        <f t="shared" si="0"/>
        <v>6.2339999002951367E-3</v>
      </c>
      <c r="G28" s="6"/>
    </row>
    <row r="29" spans="1:7" s="4" customFormat="1" ht="15.75" customHeight="1" x14ac:dyDescent="0.2">
      <c r="A29" s="63" t="str">
        <f>A303</f>
        <v>3.2.5. Manutenção</v>
      </c>
      <c r="B29" s="45"/>
      <c r="C29" s="46"/>
      <c r="D29" s="46"/>
      <c r="E29" s="247">
        <f>F306</f>
        <v>1150</v>
      </c>
      <c r="F29" s="124">
        <f t="shared" si="0"/>
        <v>5.7641004103231412E-3</v>
      </c>
      <c r="G29" s="6"/>
    </row>
    <row r="30" spans="1:7" s="4" customFormat="1" ht="15.75" customHeight="1" x14ac:dyDescent="0.2">
      <c r="A30" s="63" t="str">
        <f>A308</f>
        <v>3.2.6. Pneus</v>
      </c>
      <c r="B30" s="45"/>
      <c r="C30" s="46"/>
      <c r="D30" s="46"/>
      <c r="E30" s="247">
        <f>F315</f>
        <v>88</v>
      </c>
      <c r="F30" s="124">
        <f t="shared" si="0"/>
        <v>4.4107898792037953E-4</v>
      </c>
      <c r="G30" s="6"/>
    </row>
    <row r="31" spans="1:7" s="11" customFormat="1" ht="15.75" customHeight="1" x14ac:dyDescent="0.2">
      <c r="A31" s="128" t="str">
        <f>A319</f>
        <v>4. Ferramentas e Materiais de Consumo</v>
      </c>
      <c r="B31" s="129"/>
      <c r="C31" s="123"/>
      <c r="D31" s="123"/>
      <c r="E31" s="246">
        <f>+F329</f>
        <v>61.166666666666664</v>
      </c>
      <c r="F31" s="124">
        <f t="shared" si="0"/>
        <v>3.0658331167950618E-4</v>
      </c>
      <c r="G31" s="43"/>
    </row>
    <row r="32" spans="1:7" s="11" customFormat="1" ht="15.75" customHeight="1" x14ac:dyDescent="0.2">
      <c r="A32" s="128" t="str">
        <f>A331</f>
        <v>5. Monitoramento da Frota</v>
      </c>
      <c r="B32" s="129"/>
      <c r="C32" s="123"/>
      <c r="D32" s="123"/>
      <c r="E32" s="246">
        <f>+F340</f>
        <v>516.66666666666663</v>
      </c>
      <c r="F32" s="124">
        <f t="shared" si="0"/>
        <v>2.5896683002901068E-3</v>
      </c>
      <c r="G32" s="43"/>
    </row>
    <row r="33" spans="1:7" s="11" customFormat="1" ht="15.75" customHeight="1" thickBot="1" x14ac:dyDescent="0.25">
      <c r="A33" s="128" t="str">
        <f>A344</f>
        <v>6. Benefícios e Despesas Indiretas - BDI</v>
      </c>
      <c r="B33" s="129"/>
      <c r="C33" s="123"/>
      <c r="D33" s="123"/>
      <c r="E33" s="248">
        <f>+F350</f>
        <v>41168.88506601916</v>
      </c>
      <c r="F33" s="124">
        <f t="shared" si="0"/>
        <v>0.20634920634920634</v>
      </c>
      <c r="G33" s="43"/>
    </row>
    <row r="34" spans="1:7" s="4" customFormat="1" ht="15.75" customHeight="1" thickBot="1" x14ac:dyDescent="0.25">
      <c r="A34" s="41" t="s">
        <v>231</v>
      </c>
      <c r="B34" s="42"/>
      <c r="C34" s="26"/>
      <c r="D34" s="26"/>
      <c r="E34" s="111">
        <f>E7+E15+E16+E31+E32+E33</f>
        <v>199510.7507045544</v>
      </c>
      <c r="F34" s="124">
        <f t="shared" si="0"/>
        <v>1</v>
      </c>
      <c r="G34" s="6"/>
    </row>
    <row r="36" spans="1:7" ht="13.5" thickBot="1" x14ac:dyDescent="0.25"/>
    <row r="37" spans="1:7" s="4" customFormat="1" ht="15" customHeight="1" thickBot="1" x14ac:dyDescent="0.25">
      <c r="A37" s="340" t="s">
        <v>93</v>
      </c>
      <c r="B37" s="341"/>
      <c r="C37" s="341"/>
      <c r="D37" s="341"/>
      <c r="E37" s="342"/>
      <c r="F37" s="10"/>
      <c r="G37" s="6"/>
    </row>
    <row r="38" spans="1:7" s="4" customFormat="1" ht="15" customHeight="1" thickBot="1" x14ac:dyDescent="0.25">
      <c r="A38" s="337" t="s">
        <v>37</v>
      </c>
      <c r="B38" s="338"/>
      <c r="C38" s="338"/>
      <c r="D38" s="339"/>
      <c r="E38" s="47" t="s">
        <v>38</v>
      </c>
      <c r="F38" s="10"/>
      <c r="G38" s="6"/>
    </row>
    <row r="39" spans="1:7" s="4" customFormat="1" ht="15" customHeight="1" x14ac:dyDescent="0.2">
      <c r="A39" s="71" t="str">
        <f>+A52</f>
        <v>1.1. Coletor Turno Dia</v>
      </c>
      <c r="B39" s="72"/>
      <c r="C39" s="72"/>
      <c r="D39" s="73"/>
      <c r="E39" s="74">
        <f>C62</f>
        <v>10</v>
      </c>
      <c r="F39" s="10"/>
      <c r="G39" s="6"/>
    </row>
    <row r="40" spans="1:7" s="4" customFormat="1" ht="15" customHeight="1" x14ac:dyDescent="0.2">
      <c r="A40" s="65" t="str">
        <f>+A65</f>
        <v>1.2. Motorista Turno do Dia</v>
      </c>
      <c r="B40" s="64"/>
      <c r="C40" s="64"/>
      <c r="D40" s="75"/>
      <c r="E40" s="68">
        <f>C77</f>
        <v>4</v>
      </c>
      <c r="F40" s="10"/>
      <c r="G40" s="6"/>
    </row>
    <row r="41" spans="1:7" s="4" customFormat="1" ht="15" customHeight="1" x14ac:dyDescent="0.2">
      <c r="A41" s="65" t="str">
        <f>+A80</f>
        <v>1.3. Gerente</v>
      </c>
      <c r="B41" s="64"/>
      <c r="C41" s="64"/>
      <c r="D41" s="75"/>
      <c r="E41" s="68">
        <f>C72</f>
        <v>1</v>
      </c>
      <c r="F41" s="10"/>
      <c r="G41" s="6"/>
    </row>
    <row r="42" spans="1:7" s="4" customFormat="1" ht="15" customHeight="1" thickBot="1" x14ac:dyDescent="0.25">
      <c r="A42" s="69" t="s">
        <v>55</v>
      </c>
      <c r="B42" s="70"/>
      <c r="C42" s="70"/>
      <c r="D42" s="76"/>
      <c r="E42" s="77">
        <f>SUM(E39:E41)</f>
        <v>15</v>
      </c>
      <c r="F42" s="10"/>
      <c r="G42" s="6"/>
    </row>
    <row r="43" spans="1:7" s="4" customFormat="1" ht="15" customHeight="1" thickBot="1" x14ac:dyDescent="0.25">
      <c r="A43" s="125"/>
      <c r="B43" s="126"/>
      <c r="C43" s="57"/>
      <c r="D43" s="57"/>
      <c r="E43" s="127"/>
      <c r="F43" s="10"/>
      <c r="G43" s="6"/>
    </row>
    <row r="44" spans="1:7" s="4" customFormat="1" ht="15" customHeight="1" x14ac:dyDescent="0.2">
      <c r="A44" s="327" t="s">
        <v>53</v>
      </c>
      <c r="B44" s="328"/>
      <c r="C44" s="328"/>
      <c r="D44" s="328"/>
      <c r="E44" s="47" t="s">
        <v>38</v>
      </c>
      <c r="F44" s="9"/>
      <c r="G44" s="6"/>
    </row>
    <row r="45" spans="1:7" s="4" customFormat="1" ht="15" customHeight="1" x14ac:dyDescent="0.2">
      <c r="A45" s="316" t="str">
        <f>+A165</f>
        <v>3.1. Veículo Coletor Compactador 12 m³</v>
      </c>
      <c r="B45" s="64"/>
      <c r="C45" s="64"/>
      <c r="D45" s="241"/>
      <c r="E45" s="315">
        <f>C180</f>
        <v>3.3</v>
      </c>
      <c r="F45" s="9"/>
      <c r="G45" s="6"/>
    </row>
    <row r="46" spans="1:7" s="4" customFormat="1" ht="15" customHeight="1" x14ac:dyDescent="0.2">
      <c r="A46" s="316" t="str">
        <f>+A243</f>
        <v>3.2. Veículo Caminhonete 4x4</v>
      </c>
      <c r="B46" s="64"/>
      <c r="C46" s="64"/>
      <c r="D46" s="241"/>
      <c r="E46" s="315">
        <f>+C258</f>
        <v>1.1000000000000001</v>
      </c>
      <c r="F46" s="9"/>
      <c r="G46" s="6"/>
    </row>
    <row r="47" spans="1:7" s="4" customFormat="1" ht="13.5" thickBot="1" x14ac:dyDescent="0.25">
      <c r="A47" s="57"/>
      <c r="B47" s="57"/>
      <c r="C47" s="57"/>
      <c r="D47" s="53"/>
      <c r="E47" s="66"/>
      <c r="F47" s="9"/>
      <c r="G47" s="6"/>
    </row>
    <row r="48" spans="1:7" s="11" customFormat="1" ht="15.75" customHeight="1" thickBot="1" x14ac:dyDescent="0.25">
      <c r="A48" s="250" t="s">
        <v>191</v>
      </c>
      <c r="B48" s="251">
        <v>1</v>
      </c>
      <c r="C48" s="35"/>
      <c r="D48" s="34"/>
      <c r="E48" s="145"/>
      <c r="G48" s="43"/>
    </row>
    <row r="49" spans="1:7" s="4" customFormat="1" ht="15.75" customHeight="1" x14ac:dyDescent="0.2">
      <c r="A49" s="57"/>
      <c r="B49" s="57"/>
      <c r="C49" s="57"/>
      <c r="D49" s="53"/>
      <c r="E49" s="66"/>
      <c r="F49" s="9"/>
      <c r="G49" s="6"/>
    </row>
    <row r="50" spans="1:7" ht="13.15" customHeight="1" x14ac:dyDescent="0.2">
      <c r="A50" s="11" t="s">
        <v>44</v>
      </c>
    </row>
    <row r="51" spans="1:7" ht="11.25" customHeight="1" x14ac:dyDescent="0.2"/>
    <row r="52" spans="1:7" ht="13.9" customHeight="1" thickBot="1" x14ac:dyDescent="0.25">
      <c r="A52" s="9" t="s">
        <v>94</v>
      </c>
    </row>
    <row r="53" spans="1:7" ht="13.9" customHeight="1" thickBot="1" x14ac:dyDescent="0.25">
      <c r="A53" s="58" t="s">
        <v>60</v>
      </c>
      <c r="B53" s="59" t="s">
        <v>61</v>
      </c>
      <c r="C53" s="59" t="s">
        <v>38</v>
      </c>
      <c r="D53" s="60" t="s">
        <v>227</v>
      </c>
      <c r="E53" s="60" t="s">
        <v>62</v>
      </c>
      <c r="F53" s="61" t="s">
        <v>63</v>
      </c>
    </row>
    <row r="54" spans="1:7" ht="13.15" customHeight="1" x14ac:dyDescent="0.2">
      <c r="A54" s="295" t="s">
        <v>206</v>
      </c>
      <c r="B54" s="304" t="s">
        <v>6</v>
      </c>
      <c r="C54" s="304">
        <v>1</v>
      </c>
      <c r="D54" s="305">
        <v>1549.57</v>
      </c>
      <c r="E54" s="306">
        <f>C54*D54</f>
        <v>1549.57</v>
      </c>
      <c r="F54" s="303"/>
    </row>
    <row r="55" spans="1:7" x14ac:dyDescent="0.2">
      <c r="A55" s="302" t="s">
        <v>301</v>
      </c>
      <c r="B55" s="307" t="s">
        <v>302</v>
      </c>
      <c r="C55" s="308">
        <v>7.33</v>
      </c>
      <c r="D55" s="309">
        <f>D54/220*2</f>
        <v>14.087</v>
      </c>
      <c r="E55" s="309">
        <f>C55*D55</f>
        <v>103.25771</v>
      </c>
      <c r="F55" s="303"/>
    </row>
    <row r="56" spans="1:7" x14ac:dyDescent="0.2">
      <c r="A56" s="302" t="s">
        <v>303</v>
      </c>
      <c r="B56" s="307" t="s">
        <v>302</v>
      </c>
      <c r="C56" s="308">
        <v>0</v>
      </c>
      <c r="D56" s="309">
        <f>D54/220*1.5</f>
        <v>10.565249999999999</v>
      </c>
      <c r="E56" s="309">
        <f>C56*D56</f>
        <v>0</v>
      </c>
      <c r="F56" s="303"/>
    </row>
    <row r="57" spans="1:7" x14ac:dyDescent="0.2">
      <c r="A57" s="302" t="s">
        <v>304</v>
      </c>
      <c r="B57" s="307" t="s">
        <v>33</v>
      </c>
      <c r="C57" s="7"/>
      <c r="D57" s="309">
        <f>63/302*(SUM(E55:E56))</f>
        <v>21.540515662251657</v>
      </c>
      <c r="E57" s="309">
        <f>D57</f>
        <v>21.540515662251657</v>
      </c>
      <c r="F57" s="303"/>
    </row>
    <row r="58" spans="1:7" x14ac:dyDescent="0.2">
      <c r="A58" s="302" t="s">
        <v>0</v>
      </c>
      <c r="B58" s="307" t="s">
        <v>1</v>
      </c>
      <c r="C58" s="307">
        <v>40</v>
      </c>
      <c r="D58" s="310">
        <f>SUM(E54:E57)</f>
        <v>1674.3682256622517</v>
      </c>
      <c r="E58" s="309">
        <f>C58*D58/100</f>
        <v>669.7472902649007</v>
      </c>
      <c r="F58" s="303"/>
    </row>
    <row r="59" spans="1:7" ht="11.25" customHeight="1" x14ac:dyDescent="0.2">
      <c r="A59" s="113" t="s">
        <v>2</v>
      </c>
      <c r="B59" s="114"/>
      <c r="C59" s="114"/>
      <c r="D59" s="115"/>
      <c r="E59" s="116">
        <f>SUM(E54:E58)</f>
        <v>2344.1155159271525</v>
      </c>
    </row>
    <row r="60" spans="1:7" x14ac:dyDescent="0.2">
      <c r="A60" s="16" t="s">
        <v>3</v>
      </c>
      <c r="B60" s="17" t="s">
        <v>1</v>
      </c>
      <c r="C60" s="132">
        <f>'2.Encargos Sociais'!$C$37*100</f>
        <v>70.595951999999997</v>
      </c>
      <c r="D60" s="18">
        <f>E59</f>
        <v>2344.1155159271525</v>
      </c>
      <c r="E60" s="18">
        <f>D60*C60/100</f>
        <v>1654.8506644484848</v>
      </c>
    </row>
    <row r="61" spans="1:7" s="12" customFormat="1" ht="13.15" customHeight="1" x14ac:dyDescent="0.2">
      <c r="A61" s="113" t="s">
        <v>69</v>
      </c>
      <c r="B61" s="114"/>
      <c r="C61" s="114"/>
      <c r="D61" s="115"/>
      <c r="E61" s="116">
        <f>E59+E60</f>
        <v>3998.9661803756371</v>
      </c>
      <c r="F61" s="10"/>
      <c r="G61" s="10"/>
    </row>
    <row r="62" spans="1:7" ht="13.5" thickBot="1" x14ac:dyDescent="0.25">
      <c r="A62" s="16" t="s">
        <v>4</v>
      </c>
      <c r="B62" s="17" t="s">
        <v>5</v>
      </c>
      <c r="C62" s="84">
        <v>10</v>
      </c>
      <c r="D62" s="18">
        <f>E61</f>
        <v>3998.9661803756371</v>
      </c>
      <c r="E62" s="18">
        <f>C62*D62</f>
        <v>39989.661803756375</v>
      </c>
    </row>
    <row r="63" spans="1:7" ht="13.5" thickBot="1" x14ac:dyDescent="0.25">
      <c r="D63" s="119" t="s">
        <v>190</v>
      </c>
      <c r="E63" s="49">
        <f>$B$48</f>
        <v>1</v>
      </c>
      <c r="F63" s="120">
        <f>E62*E63</f>
        <v>39989.661803756375</v>
      </c>
    </row>
    <row r="65" spans="1:7" ht="13.5" thickBot="1" x14ac:dyDescent="0.25">
      <c r="A65" s="7" t="s">
        <v>282</v>
      </c>
    </row>
    <row r="66" spans="1:7" s="11" customFormat="1" ht="13.5" thickBot="1" x14ac:dyDescent="0.25">
      <c r="A66" s="58" t="s">
        <v>60</v>
      </c>
      <c r="B66" s="59" t="s">
        <v>61</v>
      </c>
      <c r="C66" s="59" t="s">
        <v>38</v>
      </c>
      <c r="D66" s="60" t="s">
        <v>227</v>
      </c>
      <c r="E66" s="60" t="s">
        <v>62</v>
      </c>
      <c r="F66" s="61" t="s">
        <v>63</v>
      </c>
      <c r="G66" s="43"/>
    </row>
    <row r="67" spans="1:7" x14ac:dyDescent="0.2">
      <c r="A67" s="295" t="s">
        <v>272</v>
      </c>
      <c r="B67" s="304" t="s">
        <v>6</v>
      </c>
      <c r="C67" s="304">
        <v>1</v>
      </c>
      <c r="D67" s="305">
        <v>1817.21</v>
      </c>
      <c r="E67" s="306">
        <f>C67*D67</f>
        <v>1817.21</v>
      </c>
      <c r="F67" s="303"/>
    </row>
    <row r="68" spans="1:7" s="11" customFormat="1" x14ac:dyDescent="0.2">
      <c r="A68" s="295" t="s">
        <v>273</v>
      </c>
      <c r="B68" s="304" t="s">
        <v>6</v>
      </c>
      <c r="C68" s="304">
        <v>1</v>
      </c>
      <c r="D68" s="305">
        <v>1212</v>
      </c>
      <c r="E68" s="306"/>
      <c r="F68" s="303"/>
      <c r="G68" s="43"/>
    </row>
    <row r="69" spans="1:7" x14ac:dyDescent="0.2">
      <c r="A69" s="302" t="s">
        <v>301</v>
      </c>
      <c r="B69" s="307" t="s">
        <v>302</v>
      </c>
      <c r="C69" s="308">
        <v>7.33</v>
      </c>
      <c r="D69" s="309">
        <f>D67/220*2</f>
        <v>16.520090909090911</v>
      </c>
      <c r="E69" s="309">
        <f>C69*D69</f>
        <v>121.09226636363638</v>
      </c>
      <c r="F69" s="303"/>
    </row>
    <row r="70" spans="1:7" x14ac:dyDescent="0.2">
      <c r="A70" s="302" t="s">
        <v>303</v>
      </c>
      <c r="B70" s="307" t="s">
        <v>302</v>
      </c>
      <c r="C70" s="308">
        <v>0</v>
      </c>
      <c r="D70" s="309">
        <f>D67/220*1.5</f>
        <v>12.390068181818183</v>
      </c>
      <c r="E70" s="309">
        <f>C70*D70</f>
        <v>0</v>
      </c>
      <c r="F70" s="303"/>
    </row>
    <row r="71" spans="1:7" ht="11.25" customHeight="1" x14ac:dyDescent="0.2">
      <c r="A71" s="302" t="s">
        <v>304</v>
      </c>
      <c r="B71" s="307" t="s">
        <v>33</v>
      </c>
      <c r="C71" s="7"/>
      <c r="D71" s="309">
        <f>63/302*(SUM(E69:E70))</f>
        <v>25.260969473208917</v>
      </c>
      <c r="E71" s="309">
        <f>D71</f>
        <v>25.260969473208917</v>
      </c>
      <c r="F71" s="303"/>
    </row>
    <row r="72" spans="1:7" x14ac:dyDescent="0.2">
      <c r="A72" s="302" t="s">
        <v>207</v>
      </c>
      <c r="B72" s="307"/>
      <c r="C72" s="313">
        <v>1</v>
      </c>
      <c r="D72" s="309"/>
      <c r="E72" s="309"/>
      <c r="F72" s="303"/>
    </row>
    <row r="73" spans="1:7" x14ac:dyDescent="0.2">
      <c r="A73" s="302" t="s">
        <v>0</v>
      </c>
      <c r="B73" s="307" t="s">
        <v>1</v>
      </c>
      <c r="C73" s="312">
        <v>40</v>
      </c>
      <c r="D73" s="310">
        <f>IF(C72=2,SUM(E67:E71),IF(C72=1,(SUM(E67:E71))*D68/D67,0))</f>
        <v>1309.6112402167369</v>
      </c>
      <c r="E73" s="309">
        <f>C73*D73/100</f>
        <v>523.84449608669468</v>
      </c>
      <c r="F73" s="303"/>
    </row>
    <row r="74" spans="1:7" x14ac:dyDescent="0.2">
      <c r="A74" s="99" t="s">
        <v>2</v>
      </c>
      <c r="B74" s="114"/>
      <c r="C74" s="114"/>
      <c r="D74" s="115"/>
      <c r="E74" s="101">
        <f>SUM(E67:E73)</f>
        <v>2487.4077319235398</v>
      </c>
      <c r="F74" s="43"/>
    </row>
    <row r="75" spans="1:7" x14ac:dyDescent="0.2">
      <c r="A75" s="302" t="s">
        <v>3</v>
      </c>
      <c r="B75" s="307" t="s">
        <v>1</v>
      </c>
      <c r="C75" s="311">
        <f>'[1]2.Encargos Sociais'!$C$37*100</f>
        <v>70.595951999999997</v>
      </c>
      <c r="D75" s="309">
        <f>E74</f>
        <v>2487.4077319235398</v>
      </c>
      <c r="E75" s="309">
        <f>D75*C75/100</f>
        <v>1756.0091684730307</v>
      </c>
      <c r="F75" s="303"/>
    </row>
    <row r="76" spans="1:7" x14ac:dyDescent="0.2">
      <c r="A76" s="99" t="s">
        <v>241</v>
      </c>
      <c r="B76" s="257"/>
      <c r="C76" s="257"/>
      <c r="D76" s="258"/>
      <c r="E76" s="101">
        <f>E74+E75</f>
        <v>4243.4169003965708</v>
      </c>
      <c r="F76" s="43"/>
    </row>
    <row r="77" spans="1:7" ht="13.5" thickBot="1" x14ac:dyDescent="0.25">
      <c r="A77" s="302" t="s">
        <v>4</v>
      </c>
      <c r="B77" s="307" t="s">
        <v>5</v>
      </c>
      <c r="C77" s="312">
        <v>4</v>
      </c>
      <c r="D77" s="309">
        <f>E76</f>
        <v>4243.4169003965708</v>
      </c>
      <c r="E77" s="309">
        <f>C77*D77</f>
        <v>16973.667601586283</v>
      </c>
      <c r="F77" s="303"/>
    </row>
    <row r="78" spans="1:7" s="11" customFormat="1" ht="13.5" thickBot="1" x14ac:dyDescent="0.25">
      <c r="A78" s="9"/>
      <c r="B78" s="9"/>
      <c r="C78" s="9"/>
      <c r="D78" s="119" t="s">
        <v>190</v>
      </c>
      <c r="E78" s="49">
        <f>$B$48</f>
        <v>1</v>
      </c>
      <c r="F78" s="120">
        <f>E77*E78</f>
        <v>16973.667601586283</v>
      </c>
      <c r="G78" s="43"/>
    </row>
    <row r="80" spans="1:7" ht="13.5" thickBot="1" x14ac:dyDescent="0.25">
      <c r="A80" s="7" t="s">
        <v>283</v>
      </c>
    </row>
    <row r="81" spans="1:10" ht="11.25" customHeight="1" thickBot="1" x14ac:dyDescent="0.25">
      <c r="A81" s="58" t="s">
        <v>60</v>
      </c>
      <c r="B81" s="59" t="s">
        <v>61</v>
      </c>
      <c r="C81" s="59" t="s">
        <v>38</v>
      </c>
      <c r="D81" s="60" t="s">
        <v>227</v>
      </c>
      <c r="E81" s="60" t="s">
        <v>62</v>
      </c>
      <c r="F81" s="61" t="s">
        <v>63</v>
      </c>
      <c r="G81" s="9"/>
    </row>
    <row r="82" spans="1:10" x14ac:dyDescent="0.2">
      <c r="A82" s="295" t="s">
        <v>272</v>
      </c>
      <c r="B82" s="304" t="s">
        <v>6</v>
      </c>
      <c r="C82" s="304">
        <v>1</v>
      </c>
      <c r="D82" s="305">
        <v>2544.09</v>
      </c>
      <c r="E82" s="306">
        <f>C82*D82</f>
        <v>2544.09</v>
      </c>
      <c r="F82" s="303"/>
      <c r="G82" s="9"/>
    </row>
    <row r="83" spans="1:10" x14ac:dyDescent="0.2">
      <c r="A83" s="295" t="s">
        <v>273</v>
      </c>
      <c r="B83" s="304" t="s">
        <v>6</v>
      </c>
      <c r="C83" s="304">
        <v>1</v>
      </c>
      <c r="D83" s="305">
        <v>1212</v>
      </c>
      <c r="E83" s="306"/>
      <c r="F83" s="303"/>
      <c r="G83" s="9"/>
    </row>
    <row r="84" spans="1:10" x14ac:dyDescent="0.2">
      <c r="A84" s="302" t="s">
        <v>301</v>
      </c>
      <c r="B84" s="307" t="s">
        <v>302</v>
      </c>
      <c r="C84" s="308">
        <v>7.33</v>
      </c>
      <c r="D84" s="309">
        <f>D82/220*2</f>
        <v>23.128090909090911</v>
      </c>
      <c r="E84" s="309">
        <f>C84*D84</f>
        <v>169.52890636363639</v>
      </c>
      <c r="F84" s="303"/>
      <c r="G84" s="9"/>
    </row>
    <row r="85" spans="1:10" x14ac:dyDescent="0.2">
      <c r="A85" s="302" t="s">
        <v>303</v>
      </c>
      <c r="B85" s="307" t="s">
        <v>302</v>
      </c>
      <c r="C85" s="308">
        <v>0</v>
      </c>
      <c r="D85" s="309">
        <f>D82/220*1.5</f>
        <v>17.346068181818183</v>
      </c>
      <c r="E85" s="309">
        <f>C85*D85</f>
        <v>0</v>
      </c>
      <c r="F85" s="303"/>
      <c r="G85" s="9"/>
    </row>
    <row r="86" spans="1:10" x14ac:dyDescent="0.2">
      <c r="A86" s="302" t="s">
        <v>304</v>
      </c>
      <c r="B86" s="307" t="s">
        <v>33</v>
      </c>
      <c r="C86" s="7"/>
      <c r="D86" s="309">
        <f>63/302*(SUM(E84:E85))</f>
        <v>35.365301658639382</v>
      </c>
      <c r="E86" s="309">
        <f>D86</f>
        <v>35.365301658639382</v>
      </c>
      <c r="F86" s="303"/>
      <c r="G86" s="9"/>
    </row>
    <row r="87" spans="1:10" x14ac:dyDescent="0.2">
      <c r="A87" s="302" t="s">
        <v>207</v>
      </c>
      <c r="B87" s="307"/>
      <c r="C87" s="313">
        <v>1</v>
      </c>
      <c r="D87" s="309"/>
      <c r="E87" s="309"/>
      <c r="F87" s="303"/>
      <c r="G87" s="9"/>
    </row>
    <row r="88" spans="1:10" x14ac:dyDescent="0.2">
      <c r="A88" s="302" t="s">
        <v>0</v>
      </c>
      <c r="B88" s="307" t="s">
        <v>1</v>
      </c>
      <c r="C88" s="312">
        <v>40</v>
      </c>
      <c r="D88" s="310">
        <f>IF(C87=2,SUM(E82:E86),IF(C87=1,(SUM(E82:E86))*D83/D82,0))</f>
        <v>1309.6112402167371</v>
      </c>
      <c r="E88" s="309">
        <f>C88*D88/100</f>
        <v>523.8444960866949</v>
      </c>
      <c r="F88" s="303"/>
      <c r="G88" s="9"/>
    </row>
    <row r="89" spans="1:10" x14ac:dyDescent="0.2">
      <c r="A89" s="99" t="s">
        <v>2</v>
      </c>
      <c r="B89" s="114"/>
      <c r="C89" s="114"/>
      <c r="D89" s="115"/>
      <c r="E89" s="101">
        <f>SUM(E82:E88)</f>
        <v>3272.8287041089711</v>
      </c>
      <c r="F89" s="43"/>
      <c r="G89" s="9"/>
    </row>
    <row r="90" spans="1:10" ht="11.25" customHeight="1" x14ac:dyDescent="0.2">
      <c r="A90" s="302" t="s">
        <v>3</v>
      </c>
      <c r="B90" s="307" t="s">
        <v>1</v>
      </c>
      <c r="C90" s="311">
        <f>'[1]2.Encargos Sociais'!$C$37*100</f>
        <v>70.595951999999997</v>
      </c>
      <c r="D90" s="309">
        <f>E89</f>
        <v>3272.8287041089711</v>
      </c>
      <c r="E90" s="309">
        <f>D90*C90/100</f>
        <v>2310.4845809949911</v>
      </c>
      <c r="F90" s="303"/>
      <c r="G90" s="9"/>
    </row>
    <row r="91" spans="1:10" x14ac:dyDescent="0.2">
      <c r="A91" s="99" t="s">
        <v>305</v>
      </c>
      <c r="B91" s="257"/>
      <c r="C91" s="257"/>
      <c r="D91" s="258"/>
      <c r="E91" s="101">
        <f>E89+E90</f>
        <v>5583.3132851039627</v>
      </c>
      <c r="F91" s="43"/>
      <c r="G91" s="9"/>
    </row>
    <row r="92" spans="1:10" ht="13.5" thickBot="1" x14ac:dyDescent="0.25">
      <c r="A92" s="302" t="s">
        <v>4</v>
      </c>
      <c r="B92" s="307" t="s">
        <v>5</v>
      </c>
      <c r="C92" s="312">
        <v>1</v>
      </c>
      <c r="D92" s="309">
        <f>E91</f>
        <v>5583.3132851039627</v>
      </c>
      <c r="E92" s="309">
        <f>C92*D92</f>
        <v>5583.3132851039627</v>
      </c>
      <c r="F92" s="303"/>
      <c r="G92" s="9"/>
    </row>
    <row r="93" spans="1:10" ht="13.5" thickBot="1" x14ac:dyDescent="0.25">
      <c r="D93" s="119" t="s">
        <v>190</v>
      </c>
      <c r="E93" s="49">
        <f>$B$48</f>
        <v>1</v>
      </c>
      <c r="F93" s="120">
        <f>E92*E93</f>
        <v>5583.3132851039627</v>
      </c>
      <c r="G93" s="9"/>
    </row>
    <row r="94" spans="1:10" x14ac:dyDescent="0.2">
      <c r="G94" s="9"/>
    </row>
    <row r="95" spans="1:10" ht="13.5" thickBot="1" x14ac:dyDescent="0.25">
      <c r="A95" s="9" t="s">
        <v>95</v>
      </c>
      <c r="B95" s="89"/>
      <c r="D95" s="9"/>
      <c r="E95" s="9"/>
      <c r="I95" s="83"/>
      <c r="J95" s="83"/>
    </row>
    <row r="96" spans="1:10" ht="13.5" thickBot="1" x14ac:dyDescent="0.25">
      <c r="A96" s="58" t="s">
        <v>60</v>
      </c>
      <c r="B96" s="59" t="s">
        <v>61</v>
      </c>
      <c r="C96" s="59" t="s">
        <v>38</v>
      </c>
      <c r="D96" s="60" t="s">
        <v>227</v>
      </c>
      <c r="E96" s="60" t="s">
        <v>62</v>
      </c>
      <c r="F96" s="61" t="s">
        <v>63</v>
      </c>
      <c r="I96" s="7"/>
    </row>
    <row r="97" spans="1:10" x14ac:dyDescent="0.2">
      <c r="A97" s="16" t="s">
        <v>88</v>
      </c>
      <c r="B97" s="17" t="s">
        <v>33</v>
      </c>
      <c r="C97" s="90">
        <v>1</v>
      </c>
      <c r="D97" s="88">
        <v>5.15</v>
      </c>
      <c r="E97" s="18"/>
      <c r="H97" s="83"/>
    </row>
    <row r="98" spans="1:10" x14ac:dyDescent="0.2">
      <c r="A98" s="16" t="s">
        <v>89</v>
      </c>
      <c r="B98" s="17" t="s">
        <v>90</v>
      </c>
      <c r="C98" s="87">
        <v>24</v>
      </c>
      <c r="D98" s="18"/>
      <c r="E98" s="18"/>
      <c r="G98" s="83"/>
    </row>
    <row r="99" spans="1:10" x14ac:dyDescent="0.2">
      <c r="A99" s="16" t="s">
        <v>70</v>
      </c>
      <c r="B99" s="17" t="s">
        <v>7</v>
      </c>
      <c r="C99" s="37">
        <f>$C$98*2*(C62)</f>
        <v>480</v>
      </c>
      <c r="D99" s="15">
        <f>IFERROR((($C$98*2*$D$97)-(E54*0.06*C98/26))/($C$98*2),"-")</f>
        <v>3.3620346153846157</v>
      </c>
      <c r="E99" s="18">
        <f>IFERROR(C99*D99,"-")</f>
        <v>1613.7766153846155</v>
      </c>
    </row>
    <row r="100" spans="1:10" x14ac:dyDescent="0.2">
      <c r="A100" s="16" t="s">
        <v>89</v>
      </c>
      <c r="B100" s="17" t="s">
        <v>90</v>
      </c>
      <c r="C100" s="87">
        <v>24</v>
      </c>
      <c r="D100" s="15"/>
      <c r="E100" s="15"/>
    </row>
    <row r="101" spans="1:10" x14ac:dyDescent="0.2">
      <c r="A101" s="13" t="s">
        <v>42</v>
      </c>
      <c r="B101" s="14" t="s">
        <v>7</v>
      </c>
      <c r="C101" s="37">
        <f>$C$100*2*C77</f>
        <v>192</v>
      </c>
      <c r="D101" s="15">
        <f>IFERROR((($C$100*2*$D$97)-(E67*0.06*C100/26))/($C$100*2),"-")</f>
        <v>3.0532192307692312</v>
      </c>
      <c r="E101" s="15">
        <f>IFERROR(C101*D101,"-")</f>
        <v>586.21809230769236</v>
      </c>
      <c r="I101" s="83"/>
      <c r="J101" s="83"/>
    </row>
    <row r="102" spans="1:10" x14ac:dyDescent="0.2">
      <c r="A102" s="16" t="s">
        <v>89</v>
      </c>
      <c r="B102" s="17" t="s">
        <v>90</v>
      </c>
      <c r="C102" s="87">
        <v>26</v>
      </c>
      <c r="D102" s="15"/>
      <c r="E102" s="15"/>
      <c r="I102" s="83"/>
      <c r="J102" s="83"/>
    </row>
    <row r="103" spans="1:10" ht="13.5" thickBot="1" x14ac:dyDescent="0.25">
      <c r="A103" s="295" t="s">
        <v>284</v>
      </c>
      <c r="B103" s="14" t="s">
        <v>7</v>
      </c>
      <c r="C103" s="37">
        <f>$C$102*2*C92</f>
        <v>52</v>
      </c>
      <c r="D103" s="15">
        <f>IFERROR((($C$102*2*$D$97)-(E82*0.06*C102/26))/($C$102*2),"-")</f>
        <v>2.2145115384615388</v>
      </c>
      <c r="E103" s="15">
        <f>IFERROR(C103*D103,"-")</f>
        <v>115.15460000000002</v>
      </c>
    </row>
    <row r="104" spans="1:10" ht="13.5" thickBot="1" x14ac:dyDescent="0.25">
      <c r="A104" s="325" t="s">
        <v>309</v>
      </c>
      <c r="B104" s="325"/>
      <c r="C104" s="325"/>
      <c r="D104" s="325"/>
      <c r="E104" s="326"/>
      <c r="F104" s="22">
        <f>SUM(E99:E103)</f>
        <v>2315.149307692308</v>
      </c>
    </row>
    <row r="106" spans="1:10" ht="13.5" thickBot="1" x14ac:dyDescent="0.25">
      <c r="A106" s="9" t="s">
        <v>117</v>
      </c>
      <c r="F106" s="23"/>
    </row>
    <row r="107" spans="1:10" ht="13.5" thickBot="1" x14ac:dyDescent="0.25">
      <c r="A107" s="58" t="s">
        <v>60</v>
      </c>
      <c r="B107" s="59" t="s">
        <v>61</v>
      </c>
      <c r="C107" s="59" t="s">
        <v>38</v>
      </c>
      <c r="D107" s="60" t="s">
        <v>227</v>
      </c>
      <c r="E107" s="60" t="s">
        <v>62</v>
      </c>
      <c r="F107" s="61" t="s">
        <v>63</v>
      </c>
    </row>
    <row r="108" spans="1:10" ht="11.25" customHeight="1" x14ac:dyDescent="0.2">
      <c r="A108" s="16" t="str">
        <f>+A99</f>
        <v>Coletor</v>
      </c>
      <c r="B108" s="17" t="s">
        <v>8</v>
      </c>
      <c r="C108" s="98">
        <f>C98*(E39)</f>
        <v>240</v>
      </c>
      <c r="D108" s="91">
        <v>16.350000000000001</v>
      </c>
      <c r="E108" s="49">
        <f>C108*D108</f>
        <v>3924.0000000000005</v>
      </c>
      <c r="F108" s="23"/>
    </row>
    <row r="109" spans="1:10" x14ac:dyDescent="0.2">
      <c r="A109" s="16" t="str">
        <f>+A101</f>
        <v>Motorista</v>
      </c>
      <c r="B109" s="17" t="s">
        <v>8</v>
      </c>
      <c r="C109" s="98">
        <f>C98*(E40)</f>
        <v>96</v>
      </c>
      <c r="D109" s="91">
        <v>10.25</v>
      </c>
      <c r="E109" s="49">
        <f>C109*D109</f>
        <v>984</v>
      </c>
      <c r="F109" s="23"/>
    </row>
    <row r="110" spans="1:10" ht="13.5" thickBot="1" x14ac:dyDescent="0.25">
      <c r="A110" s="16" t="str">
        <f>+A103</f>
        <v>Gerente</v>
      </c>
      <c r="B110" s="17" t="s">
        <v>8</v>
      </c>
      <c r="C110" s="98">
        <f>C102*(E41)</f>
        <v>26</v>
      </c>
      <c r="D110" s="91">
        <v>16.350000000000001</v>
      </c>
      <c r="E110" s="49">
        <f>C110*D110</f>
        <v>425.1</v>
      </c>
      <c r="F110" s="23"/>
      <c r="I110" s="83"/>
      <c r="J110" s="83"/>
    </row>
    <row r="111" spans="1:10" ht="13.5" thickBot="1" x14ac:dyDescent="0.25">
      <c r="F111" s="22">
        <f>SUM(E108:E110)</f>
        <v>5333.1</v>
      </c>
      <c r="I111" s="83"/>
      <c r="J111" s="83"/>
    </row>
    <row r="112" spans="1:10" x14ac:dyDescent="0.2">
      <c r="I112" s="83"/>
      <c r="J112" s="83"/>
    </row>
    <row r="113" spans="1:10" ht="13.5" thickBot="1" x14ac:dyDescent="0.25">
      <c r="A113" s="9" t="s">
        <v>118</v>
      </c>
      <c r="F113" s="23"/>
      <c r="I113" s="83"/>
      <c r="J113" s="83"/>
    </row>
    <row r="114" spans="1:10" ht="13.5" thickBot="1" x14ac:dyDescent="0.25">
      <c r="A114" s="58" t="s">
        <v>60</v>
      </c>
      <c r="B114" s="59" t="s">
        <v>61</v>
      </c>
      <c r="C114" s="59" t="s">
        <v>38</v>
      </c>
      <c r="D114" s="60" t="s">
        <v>227</v>
      </c>
      <c r="E114" s="60" t="s">
        <v>62</v>
      </c>
      <c r="F114" s="61" t="s">
        <v>63</v>
      </c>
      <c r="I114" s="83"/>
      <c r="J114" s="83"/>
    </row>
    <row r="115" spans="1:10" x14ac:dyDescent="0.2">
      <c r="A115" s="16" t="str">
        <f>+A108</f>
        <v>Coletor</v>
      </c>
      <c r="B115" s="17" t="s">
        <v>8</v>
      </c>
      <c r="C115" s="98">
        <f>E39</f>
        <v>10</v>
      </c>
      <c r="D115" s="301">
        <v>0</v>
      </c>
      <c r="E115" s="49">
        <f>C115*D115</f>
        <v>0</v>
      </c>
      <c r="F115" s="23"/>
      <c r="I115" s="83"/>
      <c r="J115" s="83"/>
    </row>
    <row r="116" spans="1:10" x14ac:dyDescent="0.2">
      <c r="A116" s="16" t="str">
        <f>+A109</f>
        <v>Motorista</v>
      </c>
      <c r="B116" s="17" t="s">
        <v>8</v>
      </c>
      <c r="C116" s="98">
        <f>E40</f>
        <v>4</v>
      </c>
      <c r="D116" s="91">
        <v>77.819999999999993</v>
      </c>
      <c r="E116" s="49">
        <f>C116*D116</f>
        <v>311.27999999999997</v>
      </c>
      <c r="F116" s="23"/>
      <c r="I116" s="83"/>
      <c r="J116" s="83"/>
    </row>
    <row r="117" spans="1:10" ht="13.5" thickBot="1" x14ac:dyDescent="0.25">
      <c r="A117" s="16" t="str">
        <f>+A110</f>
        <v>Gerente</v>
      </c>
      <c r="B117" s="17" t="s">
        <v>8</v>
      </c>
      <c r="C117" s="98">
        <f>E41</f>
        <v>1</v>
      </c>
      <c r="D117" s="91">
        <v>0</v>
      </c>
      <c r="E117" s="49">
        <f>C117*D117</f>
        <v>0</v>
      </c>
      <c r="F117" s="23"/>
      <c r="I117" s="83"/>
      <c r="J117" s="83"/>
    </row>
    <row r="118" spans="1:10" ht="13.5" thickBot="1" x14ac:dyDescent="0.25">
      <c r="D118" s="119" t="s">
        <v>190</v>
      </c>
      <c r="E118" s="49">
        <f>$B$48</f>
        <v>1</v>
      </c>
      <c r="F118" s="22">
        <f>SUM(E115:E117)*E118</f>
        <v>311.27999999999997</v>
      </c>
      <c r="I118" s="83"/>
      <c r="J118" s="83"/>
    </row>
    <row r="119" spans="1:10" x14ac:dyDescent="0.2">
      <c r="I119" s="83"/>
      <c r="J119" s="83"/>
    </row>
    <row r="120" spans="1:10" ht="13.5" thickBot="1" x14ac:dyDescent="0.25">
      <c r="A120" s="7" t="s">
        <v>310</v>
      </c>
      <c r="F120" s="23"/>
      <c r="I120" s="83"/>
      <c r="J120" s="83"/>
    </row>
    <row r="121" spans="1:10" ht="13.5" thickBot="1" x14ac:dyDescent="0.25">
      <c r="A121" s="58" t="s">
        <v>60</v>
      </c>
      <c r="B121" s="59" t="s">
        <v>61</v>
      </c>
      <c r="C121" s="59" t="s">
        <v>38</v>
      </c>
      <c r="D121" s="60" t="s">
        <v>227</v>
      </c>
      <c r="E121" s="60" t="s">
        <v>62</v>
      </c>
      <c r="F121" s="61" t="s">
        <v>63</v>
      </c>
      <c r="I121" s="83"/>
      <c r="J121" s="83"/>
    </row>
    <row r="122" spans="1:10" x14ac:dyDescent="0.2">
      <c r="A122" s="16" t="str">
        <f>+A115</f>
        <v>Coletor</v>
      </c>
      <c r="B122" s="17" t="s">
        <v>8</v>
      </c>
      <c r="C122" s="319">
        <v>11</v>
      </c>
      <c r="D122" s="301">
        <v>17.32</v>
      </c>
      <c r="E122" s="18">
        <f>C122*D122</f>
        <v>190.52</v>
      </c>
      <c r="F122" s="23"/>
      <c r="I122" s="83"/>
      <c r="J122" s="83"/>
    </row>
    <row r="123" spans="1:10" x14ac:dyDescent="0.2">
      <c r="A123" s="16" t="str">
        <f>+A116</f>
        <v>Motorista</v>
      </c>
      <c r="B123" s="17" t="s">
        <v>8</v>
      </c>
      <c r="C123" s="319">
        <f>E47</f>
        <v>0</v>
      </c>
      <c r="D123" s="301" t="s">
        <v>311</v>
      </c>
      <c r="E123" s="309" t="s">
        <v>311</v>
      </c>
      <c r="F123" s="23"/>
      <c r="I123" s="83"/>
      <c r="J123" s="83"/>
    </row>
    <row r="124" spans="1:10" ht="13.5" thickBot="1" x14ac:dyDescent="0.25">
      <c r="A124" s="16" t="str">
        <f>+A117</f>
        <v>Gerente</v>
      </c>
      <c r="B124" s="17" t="s">
        <v>8</v>
      </c>
      <c r="C124" s="319">
        <f>C117</f>
        <v>1</v>
      </c>
      <c r="D124" s="91">
        <v>17.32</v>
      </c>
      <c r="E124" s="18">
        <f>C124*D124</f>
        <v>17.32</v>
      </c>
      <c r="F124" s="23"/>
      <c r="I124" s="83"/>
      <c r="J124" s="83"/>
    </row>
    <row r="125" spans="1:10" ht="13.5" thickBot="1" x14ac:dyDescent="0.25">
      <c r="D125" s="119" t="s">
        <v>190</v>
      </c>
      <c r="E125" s="49">
        <f>$B$48</f>
        <v>1</v>
      </c>
      <c r="F125" s="22">
        <f>SUM(E122:E124)*E125</f>
        <v>207.84</v>
      </c>
      <c r="I125" s="83"/>
      <c r="J125" s="83"/>
    </row>
    <row r="126" spans="1:10" ht="13.5" thickBot="1" x14ac:dyDescent="0.25">
      <c r="I126" s="83"/>
      <c r="J126" s="83"/>
    </row>
    <row r="127" spans="1:10" ht="13.5" thickBot="1" x14ac:dyDescent="0.25">
      <c r="A127" s="24" t="s">
        <v>91</v>
      </c>
      <c r="B127" s="25"/>
      <c r="C127" s="25"/>
      <c r="D127" s="26"/>
      <c r="E127" s="27"/>
      <c r="F127" s="22">
        <f>F125+F118+F111+F104+F93+F78+F63</f>
        <v>70714.011998138929</v>
      </c>
      <c r="I127" s="83"/>
      <c r="J127" s="83"/>
    </row>
    <row r="128" spans="1:10" x14ac:dyDescent="0.2">
      <c r="I128" s="83"/>
      <c r="J128" s="83"/>
    </row>
    <row r="129" spans="1:10" x14ac:dyDescent="0.2">
      <c r="A129" s="11" t="s">
        <v>43</v>
      </c>
      <c r="I129" s="83"/>
      <c r="J129" s="83"/>
    </row>
    <row r="130" spans="1:10" x14ac:dyDescent="0.2">
      <c r="I130" s="83"/>
      <c r="J130" s="83"/>
    </row>
    <row r="131" spans="1:10" ht="11.25" customHeight="1" x14ac:dyDescent="0.2">
      <c r="A131" s="9" t="s">
        <v>192</v>
      </c>
      <c r="I131" s="83"/>
      <c r="J131" s="83"/>
    </row>
    <row r="132" spans="1:10" ht="13.5" thickBot="1" x14ac:dyDescent="0.25">
      <c r="I132" s="83"/>
      <c r="J132" s="83"/>
    </row>
    <row r="133" spans="1:10" ht="24.75" thickBot="1" x14ac:dyDescent="0.25">
      <c r="A133" s="58" t="s">
        <v>60</v>
      </c>
      <c r="B133" s="59" t="s">
        <v>61</v>
      </c>
      <c r="C133" s="259" t="s">
        <v>242</v>
      </c>
      <c r="D133" s="60" t="s">
        <v>227</v>
      </c>
      <c r="E133" s="60" t="s">
        <v>62</v>
      </c>
      <c r="F133" s="61" t="s">
        <v>63</v>
      </c>
      <c r="I133" s="83"/>
      <c r="J133" s="83"/>
    </row>
    <row r="134" spans="1:10" x14ac:dyDescent="0.2">
      <c r="A134" s="13" t="s">
        <v>64</v>
      </c>
      <c r="B134" s="14" t="s">
        <v>8</v>
      </c>
      <c r="C134" s="314">
        <v>6</v>
      </c>
      <c r="D134" s="85">
        <v>150</v>
      </c>
      <c r="E134" s="15">
        <f t="shared" ref="E134:E143" si="1">IFERROR(D134/C134,0)</f>
        <v>25</v>
      </c>
      <c r="I134" s="83"/>
      <c r="J134" s="83"/>
    </row>
    <row r="135" spans="1:10" x14ac:dyDescent="0.2">
      <c r="A135" s="16" t="s">
        <v>28</v>
      </c>
      <c r="B135" s="17" t="s">
        <v>8</v>
      </c>
      <c r="C135" s="314">
        <v>3</v>
      </c>
      <c r="D135" s="85">
        <v>55</v>
      </c>
      <c r="E135" s="15">
        <f t="shared" si="1"/>
        <v>18.333333333333332</v>
      </c>
      <c r="I135" s="83"/>
      <c r="J135" s="83"/>
    </row>
    <row r="136" spans="1:10" x14ac:dyDescent="0.2">
      <c r="A136" s="16" t="s">
        <v>29</v>
      </c>
      <c r="B136" s="17" t="s">
        <v>8</v>
      </c>
      <c r="C136" s="314">
        <v>3</v>
      </c>
      <c r="D136" s="85">
        <v>30</v>
      </c>
      <c r="E136" s="15">
        <f t="shared" si="1"/>
        <v>10</v>
      </c>
      <c r="I136" s="83"/>
      <c r="J136" s="83"/>
    </row>
    <row r="137" spans="1:10" x14ac:dyDescent="0.2">
      <c r="A137" s="16" t="s">
        <v>30</v>
      </c>
      <c r="B137" s="17" t="s">
        <v>8</v>
      </c>
      <c r="C137" s="314">
        <v>6</v>
      </c>
      <c r="D137" s="85">
        <v>25</v>
      </c>
      <c r="E137" s="15">
        <f t="shared" si="1"/>
        <v>4.166666666666667</v>
      </c>
      <c r="I137" s="83"/>
      <c r="J137" s="83"/>
    </row>
    <row r="138" spans="1:10" x14ac:dyDescent="0.2">
      <c r="A138" s="302" t="s">
        <v>314</v>
      </c>
      <c r="B138" s="17" t="s">
        <v>45</v>
      </c>
      <c r="C138" s="314">
        <v>6</v>
      </c>
      <c r="D138" s="85">
        <v>70</v>
      </c>
      <c r="E138" s="15">
        <f t="shared" si="1"/>
        <v>11.666666666666666</v>
      </c>
      <c r="I138" s="83"/>
      <c r="J138" s="83"/>
    </row>
    <row r="139" spans="1:10" ht="11.25" customHeight="1" x14ac:dyDescent="0.2">
      <c r="A139" s="16" t="s">
        <v>92</v>
      </c>
      <c r="B139" s="17" t="s">
        <v>45</v>
      </c>
      <c r="C139" s="314">
        <v>1</v>
      </c>
      <c r="D139" s="85">
        <v>10</v>
      </c>
      <c r="E139" s="15">
        <f t="shared" si="1"/>
        <v>10</v>
      </c>
      <c r="I139" s="83"/>
      <c r="J139" s="83"/>
    </row>
    <row r="140" spans="1:10" x14ac:dyDescent="0.2">
      <c r="A140" s="16" t="s">
        <v>65</v>
      </c>
      <c r="B140" s="17" t="s">
        <v>8</v>
      </c>
      <c r="C140" s="314">
        <v>6</v>
      </c>
      <c r="D140" s="85">
        <v>40</v>
      </c>
      <c r="E140" s="15">
        <f t="shared" si="1"/>
        <v>6.666666666666667</v>
      </c>
      <c r="I140" s="83"/>
      <c r="J140" s="83"/>
    </row>
    <row r="141" spans="1:10" x14ac:dyDescent="0.2">
      <c r="A141" s="2" t="s">
        <v>9</v>
      </c>
      <c r="B141" s="3" t="s">
        <v>8</v>
      </c>
      <c r="C141" s="314">
        <v>6</v>
      </c>
      <c r="D141" s="85">
        <v>25</v>
      </c>
      <c r="E141" s="15">
        <f t="shared" si="1"/>
        <v>4.166666666666667</v>
      </c>
      <c r="F141" s="38"/>
      <c r="I141" s="83"/>
      <c r="J141" s="83"/>
    </row>
    <row r="142" spans="1:10" x14ac:dyDescent="0.2">
      <c r="A142" s="16" t="s">
        <v>31</v>
      </c>
      <c r="B142" s="17" t="s">
        <v>45</v>
      </c>
      <c r="C142" s="97">
        <v>0.5</v>
      </c>
      <c r="D142" s="85">
        <v>14</v>
      </c>
      <c r="E142" s="15">
        <f t="shared" si="1"/>
        <v>28</v>
      </c>
      <c r="I142" s="83"/>
      <c r="J142" s="83"/>
    </row>
    <row r="143" spans="1:10" x14ac:dyDescent="0.2">
      <c r="A143" s="16" t="s">
        <v>59</v>
      </c>
      <c r="B143" s="17" t="s">
        <v>46</v>
      </c>
      <c r="C143" s="314">
        <v>1</v>
      </c>
      <c r="D143" s="85">
        <v>17</v>
      </c>
      <c r="E143" s="15">
        <f t="shared" si="1"/>
        <v>17</v>
      </c>
      <c r="I143" s="83"/>
      <c r="J143" s="83"/>
    </row>
    <row r="144" spans="1:10" x14ac:dyDescent="0.2">
      <c r="A144" s="16" t="s">
        <v>193</v>
      </c>
      <c r="B144" s="17" t="s">
        <v>119</v>
      </c>
      <c r="C144" s="117">
        <v>1</v>
      </c>
      <c r="D144" s="85">
        <v>90</v>
      </c>
      <c r="E144" s="18">
        <f>C144*D144</f>
        <v>90</v>
      </c>
      <c r="I144" s="83"/>
      <c r="J144" s="83"/>
    </row>
    <row r="145" spans="1:10" ht="13.5" thickBot="1" x14ac:dyDescent="0.25">
      <c r="A145" s="16" t="s">
        <v>4</v>
      </c>
      <c r="B145" s="17" t="s">
        <v>5</v>
      </c>
      <c r="C145" s="67">
        <f>E39</f>
        <v>10</v>
      </c>
      <c r="D145" s="18">
        <f>+SUM(E134:E144)</f>
        <v>225</v>
      </c>
      <c r="E145" s="18">
        <f>C145*D145</f>
        <v>2250</v>
      </c>
      <c r="I145" s="83"/>
      <c r="J145" s="83"/>
    </row>
    <row r="146" spans="1:10" ht="13.5" thickBot="1" x14ac:dyDescent="0.25">
      <c r="D146" s="119" t="s">
        <v>190</v>
      </c>
      <c r="E146" s="49">
        <f>$B$48</f>
        <v>1</v>
      </c>
      <c r="F146" s="120">
        <f>E145*E146</f>
        <v>2250</v>
      </c>
      <c r="I146" s="83"/>
      <c r="J146" s="83"/>
    </row>
    <row r="147" spans="1:10" x14ac:dyDescent="0.2">
      <c r="G147" s="108"/>
      <c r="H147" s="51"/>
      <c r="I147" s="83"/>
      <c r="J147" s="83"/>
    </row>
    <row r="148" spans="1:10" x14ac:dyDescent="0.2">
      <c r="A148" s="9" t="s">
        <v>194</v>
      </c>
      <c r="G148" s="108"/>
      <c r="H148" s="51"/>
      <c r="I148" s="83"/>
      <c r="J148" s="83"/>
    </row>
    <row r="149" spans="1:10" ht="13.5" thickBot="1" x14ac:dyDescent="0.25">
      <c r="G149" s="108"/>
      <c r="H149" s="51"/>
      <c r="I149" s="83"/>
      <c r="J149" s="83"/>
    </row>
    <row r="150" spans="1:10" ht="24.75" thickBot="1" x14ac:dyDescent="0.25">
      <c r="A150" s="58" t="s">
        <v>60</v>
      </c>
      <c r="B150" s="59" t="s">
        <v>61</v>
      </c>
      <c r="C150" s="259" t="s">
        <v>242</v>
      </c>
      <c r="D150" s="60" t="s">
        <v>227</v>
      </c>
      <c r="E150" s="60" t="s">
        <v>62</v>
      </c>
      <c r="F150" s="61" t="s">
        <v>63</v>
      </c>
      <c r="G150" s="108"/>
      <c r="H150" s="51"/>
      <c r="I150" s="83"/>
      <c r="J150" s="83"/>
    </row>
    <row r="151" spans="1:10" x14ac:dyDescent="0.2">
      <c r="A151" s="13" t="s">
        <v>64</v>
      </c>
      <c r="B151" s="14" t="s">
        <v>8</v>
      </c>
      <c r="C151" s="314">
        <v>12</v>
      </c>
      <c r="D151" s="15">
        <f>+D134</f>
        <v>150</v>
      </c>
      <c r="E151" s="15">
        <f t="shared" ref="E151:E156" si="2">IFERROR(D151/C151,0)</f>
        <v>12.5</v>
      </c>
      <c r="G151" s="108"/>
      <c r="H151" s="51"/>
      <c r="I151" s="83"/>
      <c r="J151" s="83"/>
    </row>
    <row r="152" spans="1:10" x14ac:dyDescent="0.2">
      <c r="A152" s="16" t="s">
        <v>28</v>
      </c>
      <c r="B152" s="17" t="s">
        <v>8</v>
      </c>
      <c r="C152" s="314">
        <v>3</v>
      </c>
      <c r="D152" s="18">
        <f>+D135</f>
        <v>55</v>
      </c>
      <c r="E152" s="15">
        <f t="shared" si="2"/>
        <v>18.333333333333332</v>
      </c>
      <c r="G152" s="108"/>
      <c r="H152" s="51"/>
      <c r="I152" s="83"/>
      <c r="J152" s="83"/>
    </row>
    <row r="153" spans="1:10" x14ac:dyDescent="0.2">
      <c r="A153" s="16" t="s">
        <v>29</v>
      </c>
      <c r="B153" s="17" t="s">
        <v>8</v>
      </c>
      <c r="C153" s="314">
        <v>3</v>
      </c>
      <c r="D153" s="18">
        <f>+D136</f>
        <v>30</v>
      </c>
      <c r="E153" s="15">
        <f t="shared" si="2"/>
        <v>10</v>
      </c>
      <c r="G153" s="108"/>
      <c r="H153" s="51"/>
      <c r="I153" s="83"/>
      <c r="J153" s="83"/>
    </row>
    <row r="154" spans="1:10" x14ac:dyDescent="0.2">
      <c r="A154" s="302" t="s">
        <v>315</v>
      </c>
      <c r="B154" s="17" t="s">
        <v>45</v>
      </c>
      <c r="C154" s="314">
        <v>6</v>
      </c>
      <c r="D154" s="18">
        <f>+D138</f>
        <v>70</v>
      </c>
      <c r="E154" s="15">
        <f t="shared" si="2"/>
        <v>11.666666666666666</v>
      </c>
      <c r="G154" s="108"/>
      <c r="H154" s="51"/>
      <c r="I154" s="83"/>
      <c r="J154" s="83"/>
    </row>
    <row r="155" spans="1:10" x14ac:dyDescent="0.2">
      <c r="A155" s="16" t="s">
        <v>65</v>
      </c>
      <c r="B155" s="17" t="s">
        <v>8</v>
      </c>
      <c r="C155" s="314">
        <v>6</v>
      </c>
      <c r="D155" s="18">
        <f>+D140</f>
        <v>40</v>
      </c>
      <c r="E155" s="15">
        <f t="shared" si="2"/>
        <v>6.666666666666667</v>
      </c>
      <c r="G155" s="108"/>
      <c r="H155" s="51"/>
      <c r="I155" s="83"/>
      <c r="J155" s="83"/>
    </row>
    <row r="156" spans="1:10" x14ac:dyDescent="0.2">
      <c r="A156" s="16" t="s">
        <v>59</v>
      </c>
      <c r="B156" s="17" t="s">
        <v>46</v>
      </c>
      <c r="C156" s="314">
        <v>2</v>
      </c>
      <c r="D156" s="18">
        <f>+D143</f>
        <v>17</v>
      </c>
      <c r="E156" s="15">
        <f t="shared" si="2"/>
        <v>8.5</v>
      </c>
      <c r="I156" s="83"/>
      <c r="J156" s="83"/>
    </row>
    <row r="157" spans="1:10" ht="11.25" customHeight="1" x14ac:dyDescent="0.2">
      <c r="A157" s="16" t="s">
        <v>193</v>
      </c>
      <c r="B157" s="17" t="s">
        <v>119</v>
      </c>
      <c r="C157" s="117">
        <v>1</v>
      </c>
      <c r="D157" s="85">
        <v>90</v>
      </c>
      <c r="E157" s="18">
        <f>C157*D157</f>
        <v>90</v>
      </c>
      <c r="I157" s="83"/>
      <c r="J157" s="83"/>
    </row>
    <row r="158" spans="1:10" ht="13.5" thickBot="1" x14ac:dyDescent="0.25">
      <c r="A158" s="16" t="s">
        <v>4</v>
      </c>
      <c r="B158" s="17" t="s">
        <v>5</v>
      </c>
      <c r="C158" s="67">
        <f>E40+E41</f>
        <v>5</v>
      </c>
      <c r="D158" s="18">
        <f>+SUM(E151:E157)</f>
        <v>157.66666666666666</v>
      </c>
      <c r="E158" s="18">
        <f>C158*D158</f>
        <v>788.33333333333326</v>
      </c>
      <c r="I158" s="83"/>
      <c r="J158" s="83"/>
    </row>
    <row r="159" spans="1:10" ht="13.5" thickBot="1" x14ac:dyDescent="0.25">
      <c r="D159" s="119" t="s">
        <v>190</v>
      </c>
      <c r="E159" s="49">
        <f>$B$48</f>
        <v>1</v>
      </c>
      <c r="F159" s="120">
        <f>E158*E159</f>
        <v>788.33333333333326</v>
      </c>
      <c r="I159" s="83"/>
      <c r="J159" s="83"/>
    </row>
    <row r="160" spans="1:10" ht="13.5" thickBot="1" x14ac:dyDescent="0.25">
      <c r="I160" s="83"/>
      <c r="J160" s="83"/>
    </row>
    <row r="161" spans="1:10" ht="13.5" thickBot="1" x14ac:dyDescent="0.25">
      <c r="A161" s="24" t="s">
        <v>195</v>
      </c>
      <c r="B161" s="28"/>
      <c r="C161" s="28"/>
      <c r="D161" s="29"/>
      <c r="E161" s="30"/>
      <c r="F161" s="21">
        <f>+F146+F159</f>
        <v>3038.333333333333</v>
      </c>
      <c r="I161" s="83"/>
      <c r="J161" s="83"/>
    </row>
    <row r="162" spans="1:10" ht="11.25" customHeight="1" x14ac:dyDescent="0.2">
      <c r="I162" s="83"/>
      <c r="J162" s="83"/>
    </row>
    <row r="163" spans="1:10" x14ac:dyDescent="0.2">
      <c r="A163" s="11" t="s">
        <v>51</v>
      </c>
      <c r="I163" s="83"/>
      <c r="J163" s="83"/>
    </row>
    <row r="164" spans="1:10" x14ac:dyDescent="0.2">
      <c r="B164" s="103"/>
      <c r="I164" s="83"/>
      <c r="J164" s="83"/>
    </row>
    <row r="165" spans="1:10" x14ac:dyDescent="0.2">
      <c r="A165" s="7" t="s">
        <v>280</v>
      </c>
      <c r="I165" s="83"/>
      <c r="J165" s="83"/>
    </row>
    <row r="166" spans="1:10" x14ac:dyDescent="0.2">
      <c r="I166" s="83"/>
      <c r="J166" s="83"/>
    </row>
    <row r="167" spans="1:10" ht="13.5" thickBot="1" x14ac:dyDescent="0.25">
      <c r="A167" s="103" t="s">
        <v>306</v>
      </c>
      <c r="I167" s="83"/>
      <c r="J167" s="83"/>
    </row>
    <row r="168" spans="1:10" ht="13.5" thickBot="1" x14ac:dyDescent="0.25">
      <c r="A168" s="58" t="s">
        <v>60</v>
      </c>
      <c r="B168" s="59" t="s">
        <v>61</v>
      </c>
      <c r="C168" s="59" t="s">
        <v>38</v>
      </c>
      <c r="D168" s="60" t="s">
        <v>227</v>
      </c>
      <c r="E168" s="60" t="s">
        <v>62</v>
      </c>
      <c r="F168" s="61" t="s">
        <v>63</v>
      </c>
      <c r="I168" s="83"/>
      <c r="J168" s="83"/>
    </row>
    <row r="169" spans="1:10" x14ac:dyDescent="0.2">
      <c r="A169" s="13" t="s">
        <v>102</v>
      </c>
      <c r="B169" s="14" t="s">
        <v>8</v>
      </c>
      <c r="C169" s="265">
        <v>1</v>
      </c>
      <c r="D169" s="85">
        <v>550000</v>
      </c>
      <c r="E169" s="15">
        <f>C169*D169</f>
        <v>550000</v>
      </c>
      <c r="I169" s="83"/>
      <c r="J169" s="83"/>
    </row>
    <row r="170" spans="1:10" x14ac:dyDescent="0.2">
      <c r="A170" s="16" t="s">
        <v>96</v>
      </c>
      <c r="B170" s="17" t="s">
        <v>97</v>
      </c>
      <c r="C170" s="84">
        <v>10</v>
      </c>
      <c r="D170" s="81"/>
      <c r="E170" s="18"/>
      <c r="I170" s="83"/>
      <c r="J170" s="83"/>
    </row>
    <row r="171" spans="1:10" ht="11.25" customHeight="1" x14ac:dyDescent="0.2">
      <c r="A171" s="16" t="s">
        <v>201</v>
      </c>
      <c r="B171" s="17" t="s">
        <v>97</v>
      </c>
      <c r="C171" s="84">
        <v>0</v>
      </c>
      <c r="D171" s="18"/>
      <c r="E171" s="18"/>
      <c r="F171" s="20"/>
      <c r="I171" s="83"/>
      <c r="J171" s="83"/>
    </row>
    <row r="172" spans="1:10" ht="11.25" customHeight="1" x14ac:dyDescent="0.2">
      <c r="A172" s="16" t="s">
        <v>100</v>
      </c>
      <c r="B172" s="17" t="s">
        <v>1</v>
      </c>
      <c r="C172" s="132">
        <f>IFERROR(VLOOKUP(C170,'5. Depreciação'!A3:B17,2,FALSE),0)</f>
        <v>65.180000000000007</v>
      </c>
      <c r="D172" s="18">
        <f>E169</f>
        <v>550000</v>
      </c>
      <c r="E172" s="18">
        <f>C172*D172/100</f>
        <v>358490.00000000006</v>
      </c>
      <c r="I172" s="83"/>
      <c r="J172" s="83"/>
    </row>
    <row r="173" spans="1:10" ht="11.25" customHeight="1" thickBot="1" x14ac:dyDescent="0.25">
      <c r="A173" s="268" t="s">
        <v>47</v>
      </c>
      <c r="B173" s="269" t="s">
        <v>6</v>
      </c>
      <c r="C173" s="269">
        <f>C170*12</f>
        <v>120</v>
      </c>
      <c r="D173" s="270">
        <f>IF(C171&lt;=C170,E172,0)</f>
        <v>358490.00000000006</v>
      </c>
      <c r="E173" s="270">
        <f>IFERROR(D173/C173,0)</f>
        <v>2987.416666666667</v>
      </c>
      <c r="I173" s="83"/>
      <c r="J173" s="83"/>
    </row>
    <row r="174" spans="1:10" ht="11.25" customHeight="1" thickTop="1" x14ac:dyDescent="0.2">
      <c r="A174" s="13" t="s">
        <v>101</v>
      </c>
      <c r="B174" s="14" t="s">
        <v>8</v>
      </c>
      <c r="C174" s="14">
        <f>C169</f>
        <v>1</v>
      </c>
      <c r="D174" s="85">
        <v>200000</v>
      </c>
      <c r="E174" s="15">
        <f>C174*D174</f>
        <v>200000</v>
      </c>
      <c r="I174" s="83"/>
      <c r="J174" s="83"/>
    </row>
    <row r="175" spans="1:10" ht="11.25" customHeight="1" x14ac:dyDescent="0.2">
      <c r="A175" s="16" t="s">
        <v>98</v>
      </c>
      <c r="B175" s="17" t="s">
        <v>97</v>
      </c>
      <c r="C175" s="84">
        <v>10</v>
      </c>
      <c r="D175" s="18"/>
      <c r="E175" s="18"/>
      <c r="I175" s="83"/>
      <c r="J175" s="83"/>
    </row>
    <row r="176" spans="1:10" ht="11.25" customHeight="1" x14ac:dyDescent="0.2">
      <c r="A176" s="16" t="s">
        <v>202</v>
      </c>
      <c r="B176" s="17" t="s">
        <v>97</v>
      </c>
      <c r="C176" s="84">
        <v>0</v>
      </c>
      <c r="D176" s="18"/>
      <c r="E176" s="18"/>
      <c r="F176" s="20"/>
      <c r="G176" s="9"/>
    </row>
    <row r="177" spans="1:6" x14ac:dyDescent="0.2">
      <c r="A177" s="16" t="s">
        <v>99</v>
      </c>
      <c r="B177" s="17" t="s">
        <v>1</v>
      </c>
      <c r="C177" s="133">
        <f>IFERROR(VLOOKUP(C175,'5. Depreciação'!A3:B17,2,FALSE),0)</f>
        <v>65.180000000000007</v>
      </c>
      <c r="D177" s="18">
        <f>E174</f>
        <v>200000</v>
      </c>
      <c r="E177" s="18">
        <f>C177*D177/100</f>
        <v>130360.00000000001</v>
      </c>
    </row>
    <row r="178" spans="1:6" ht="11.25" customHeight="1" x14ac:dyDescent="0.2">
      <c r="A178" s="99" t="s">
        <v>103</v>
      </c>
      <c r="B178" s="100" t="s">
        <v>6</v>
      </c>
      <c r="C178" s="100">
        <f>C175*12</f>
        <v>120</v>
      </c>
      <c r="D178" s="101">
        <f>IF(C176&lt;=C175,E177,0)</f>
        <v>130360.00000000001</v>
      </c>
      <c r="E178" s="101">
        <f>IFERROR(D178/C178,0)</f>
        <v>1086.3333333333335</v>
      </c>
    </row>
    <row r="179" spans="1:6" x14ac:dyDescent="0.2">
      <c r="A179" s="113" t="s">
        <v>245</v>
      </c>
      <c r="B179" s="114"/>
      <c r="C179" s="114"/>
      <c r="D179" s="115"/>
      <c r="E179" s="116">
        <f>E173+E178</f>
        <v>4073.7500000000005</v>
      </c>
    </row>
    <row r="180" spans="1:6" ht="11.25" customHeight="1" thickBot="1" x14ac:dyDescent="0.25">
      <c r="A180" s="99" t="s">
        <v>246</v>
      </c>
      <c r="B180" s="100" t="s">
        <v>8</v>
      </c>
      <c r="C180" s="84">
        <v>3.3</v>
      </c>
      <c r="D180" s="101">
        <f>E179</f>
        <v>4073.7500000000005</v>
      </c>
      <c r="E180" s="116">
        <f>C180*D180</f>
        <v>13443.375</v>
      </c>
    </row>
    <row r="181" spans="1:6" ht="13.5" thickBot="1" x14ac:dyDescent="0.25">
      <c r="A181" s="264"/>
      <c r="B181" s="264"/>
      <c r="C181" s="264"/>
      <c r="D181" s="119" t="s">
        <v>190</v>
      </c>
      <c r="E181" s="49">
        <f>$B$48</f>
        <v>1</v>
      </c>
      <c r="F181" s="21">
        <f>E180*E181</f>
        <v>13443.375</v>
      </c>
    </row>
    <row r="182" spans="1:6" ht="30.6" customHeight="1" x14ac:dyDescent="0.2">
      <c r="A182" s="324" t="s">
        <v>308</v>
      </c>
      <c r="B182" s="324"/>
      <c r="C182" s="324"/>
      <c r="D182" s="324"/>
      <c r="E182" s="57"/>
      <c r="F182" s="317"/>
    </row>
    <row r="184" spans="1:6" ht="13.5" thickBot="1" x14ac:dyDescent="0.25">
      <c r="A184" s="103" t="s">
        <v>307</v>
      </c>
    </row>
    <row r="185" spans="1:6" ht="13.5" thickBot="1" x14ac:dyDescent="0.25">
      <c r="A185" s="105" t="s">
        <v>60</v>
      </c>
      <c r="B185" s="106" t="s">
        <v>61</v>
      </c>
      <c r="C185" s="106" t="s">
        <v>38</v>
      </c>
      <c r="D185" s="60" t="s">
        <v>227</v>
      </c>
      <c r="E185" s="107" t="s">
        <v>62</v>
      </c>
      <c r="F185" s="61" t="s">
        <v>63</v>
      </c>
    </row>
    <row r="186" spans="1:6" x14ac:dyDescent="0.2">
      <c r="A186" s="16" t="s">
        <v>106</v>
      </c>
      <c r="B186" s="17" t="s">
        <v>8</v>
      </c>
      <c r="C186" s="265">
        <v>1</v>
      </c>
      <c r="D186" s="18">
        <f>D169</f>
        <v>550000</v>
      </c>
      <c r="E186" s="18">
        <f>C186*D186</f>
        <v>550000</v>
      </c>
      <c r="F186" s="20"/>
    </row>
    <row r="187" spans="1:6" x14ac:dyDescent="0.2">
      <c r="A187" s="16" t="s">
        <v>205</v>
      </c>
      <c r="B187" s="17" t="s">
        <v>1</v>
      </c>
      <c r="C187" s="312">
        <v>13.25</v>
      </c>
      <c r="D187" s="18"/>
      <c r="E187" s="18"/>
      <c r="F187" s="20"/>
    </row>
    <row r="188" spans="1:6" x14ac:dyDescent="0.2">
      <c r="A188" s="16" t="s">
        <v>203</v>
      </c>
      <c r="B188" s="17" t="s">
        <v>33</v>
      </c>
      <c r="C188" s="138">
        <f>IFERROR(IF(C171&lt;=C170,E169-(C172/(100*C170)*C171)*E169,E169-E172),0)</f>
        <v>550000</v>
      </c>
      <c r="D188" s="18"/>
      <c r="E188" s="18"/>
      <c r="F188" s="20"/>
    </row>
    <row r="189" spans="1:6" ht="11.25" customHeight="1" x14ac:dyDescent="0.2">
      <c r="A189" s="16" t="s">
        <v>110</v>
      </c>
      <c r="B189" s="17" t="s">
        <v>33</v>
      </c>
      <c r="C189" s="81">
        <f>IFERROR(IF(C171&gt;=C170,C188,((((C188)-(E169-E172))*(((C170-C171)+1)/(2*(C170-C171))))+(E169-E172))),0)</f>
        <v>388679.5</v>
      </c>
      <c r="D189" s="18"/>
      <c r="E189" s="18"/>
      <c r="F189" s="20"/>
    </row>
    <row r="190" spans="1:6" ht="13.5" thickBot="1" x14ac:dyDescent="0.25">
      <c r="A190" s="268" t="s">
        <v>111</v>
      </c>
      <c r="B190" s="269" t="s">
        <v>33</v>
      </c>
      <c r="C190" s="269"/>
      <c r="D190" s="271">
        <f>C187*C189/12/100</f>
        <v>4291.6694791666669</v>
      </c>
      <c r="E190" s="270">
        <f>D190</f>
        <v>4291.6694791666669</v>
      </c>
      <c r="F190" s="20"/>
    </row>
    <row r="191" spans="1:6" ht="11.25" customHeight="1" thickTop="1" x14ac:dyDescent="0.2">
      <c r="A191" s="13" t="s">
        <v>107</v>
      </c>
      <c r="B191" s="14" t="s">
        <v>8</v>
      </c>
      <c r="C191" s="14">
        <f>C174</f>
        <v>1</v>
      </c>
      <c r="D191" s="15">
        <f>D174</f>
        <v>200000</v>
      </c>
      <c r="E191" s="15">
        <f>C191*D191</f>
        <v>200000</v>
      </c>
      <c r="F191" s="20"/>
    </row>
    <row r="192" spans="1:6" x14ac:dyDescent="0.2">
      <c r="A192" s="16" t="s">
        <v>205</v>
      </c>
      <c r="B192" s="17" t="s">
        <v>1</v>
      </c>
      <c r="C192" s="266">
        <f>C187</f>
        <v>13.25</v>
      </c>
      <c r="D192" s="18"/>
      <c r="E192" s="18"/>
      <c r="F192" s="20"/>
    </row>
    <row r="193" spans="1:6" ht="11.25" customHeight="1" x14ac:dyDescent="0.2">
      <c r="A193" s="16" t="s">
        <v>204</v>
      </c>
      <c r="B193" s="17" t="s">
        <v>33</v>
      </c>
      <c r="C193" s="138">
        <f>IFERROR(IF(C176&lt;=C175,E174-(C177/(100*C175)*C176)*E174,E174-E177),0)</f>
        <v>200000</v>
      </c>
      <c r="D193" s="18"/>
      <c r="E193" s="18"/>
      <c r="F193" s="20"/>
    </row>
    <row r="194" spans="1:6" x14ac:dyDescent="0.2">
      <c r="A194" s="16" t="s">
        <v>112</v>
      </c>
      <c r="B194" s="17" t="s">
        <v>33</v>
      </c>
      <c r="C194" s="81">
        <f>IFERROR(IF(C176&gt;=C175,C193,((((C193)-(E174-E177))*(((C175-C176)+1)/(2*(C175-C176))))+(E174-E177))),0)</f>
        <v>141338</v>
      </c>
      <c r="D194" s="18"/>
      <c r="E194" s="18"/>
      <c r="F194" s="20"/>
    </row>
    <row r="195" spans="1:6" x14ac:dyDescent="0.2">
      <c r="A195" s="99" t="s">
        <v>109</v>
      </c>
      <c r="B195" s="100" t="s">
        <v>33</v>
      </c>
      <c r="C195" s="100"/>
      <c r="D195" s="109">
        <f>C192*C194/12/100</f>
        <v>1560.6070833333333</v>
      </c>
      <c r="E195" s="101">
        <f>D195</f>
        <v>1560.6070833333333</v>
      </c>
      <c r="F195" s="20"/>
    </row>
    <row r="196" spans="1:6" x14ac:dyDescent="0.2">
      <c r="A196" s="113" t="s">
        <v>245</v>
      </c>
      <c r="B196" s="114"/>
      <c r="C196" s="114"/>
      <c r="D196" s="115"/>
      <c r="E196" s="116">
        <f>E190+E195</f>
        <v>5852.2765625000002</v>
      </c>
      <c r="F196" s="20"/>
    </row>
    <row r="197" spans="1:6" ht="13.5" thickBot="1" x14ac:dyDescent="0.25">
      <c r="A197" s="99" t="s">
        <v>246</v>
      </c>
      <c r="B197" s="100" t="s">
        <v>8</v>
      </c>
      <c r="C197" s="266">
        <f>C180</f>
        <v>3.3</v>
      </c>
      <c r="D197" s="101">
        <f>E196</f>
        <v>5852.2765625000002</v>
      </c>
      <c r="E197" s="116">
        <f>C197*D197</f>
        <v>19312.512656250001</v>
      </c>
      <c r="F197" s="20"/>
    </row>
    <row r="198" spans="1:6" ht="13.5" thickBot="1" x14ac:dyDescent="0.25">
      <c r="C198" s="19"/>
      <c r="D198" s="119" t="s">
        <v>190</v>
      </c>
      <c r="E198" s="49">
        <f>$B$48</f>
        <v>1</v>
      </c>
      <c r="F198" s="21">
        <f>E197*E198</f>
        <v>19312.512656250001</v>
      </c>
    </row>
    <row r="199" spans="1:6" ht="27" customHeight="1" x14ac:dyDescent="0.2">
      <c r="A199" s="323" t="s">
        <v>308</v>
      </c>
      <c r="B199" s="323"/>
      <c r="C199" s="323"/>
      <c r="D199" s="323"/>
      <c r="E199" s="57"/>
      <c r="F199" s="317"/>
    </row>
    <row r="201" spans="1:6" s="50" customFormat="1" ht="11.25" customHeight="1" thickBot="1" x14ac:dyDescent="0.25">
      <c r="A201" s="9" t="s">
        <v>48</v>
      </c>
      <c r="B201" s="9"/>
      <c r="C201" s="9"/>
      <c r="D201" s="10"/>
      <c r="E201" s="10"/>
      <c r="F201" s="10"/>
    </row>
    <row r="202" spans="1:6" ht="13.5" thickBot="1" x14ac:dyDescent="0.25">
      <c r="A202" s="58" t="s">
        <v>60</v>
      </c>
      <c r="B202" s="59" t="s">
        <v>61</v>
      </c>
      <c r="C202" s="59" t="s">
        <v>38</v>
      </c>
      <c r="D202" s="60" t="s">
        <v>227</v>
      </c>
      <c r="E202" s="60" t="s">
        <v>62</v>
      </c>
      <c r="F202" s="61" t="s">
        <v>63</v>
      </c>
    </row>
    <row r="203" spans="1:6" ht="11.25" customHeight="1" x14ac:dyDescent="0.2">
      <c r="A203" s="13" t="s">
        <v>10</v>
      </c>
      <c r="B203" s="14" t="s">
        <v>8</v>
      </c>
      <c r="C203" s="85">
        <v>3</v>
      </c>
      <c r="D203" s="15">
        <f>0.01*($E$169)</f>
        <v>5500</v>
      </c>
      <c r="E203" s="15">
        <f>C203*D203</f>
        <v>16500</v>
      </c>
    </row>
    <row r="204" spans="1:6" ht="17.25" customHeight="1" x14ac:dyDescent="0.2">
      <c r="A204" s="16" t="s">
        <v>189</v>
      </c>
      <c r="B204" s="17" t="s">
        <v>8</v>
      </c>
      <c r="C204" s="15">
        <f>C203</f>
        <v>3</v>
      </c>
      <c r="D204" s="86">
        <v>150</v>
      </c>
      <c r="E204" s="18">
        <f>C204*D204</f>
        <v>450</v>
      </c>
    </row>
    <row r="205" spans="1:6" ht="11.25" customHeight="1" x14ac:dyDescent="0.2">
      <c r="A205" s="16" t="s">
        <v>11</v>
      </c>
      <c r="B205" s="17" t="s">
        <v>8</v>
      </c>
      <c r="C205" s="15">
        <f>C203</f>
        <v>3</v>
      </c>
      <c r="D205" s="86">
        <v>2500</v>
      </c>
      <c r="E205" s="18">
        <f>C205*D205</f>
        <v>7500</v>
      </c>
      <c r="F205" s="31"/>
    </row>
    <row r="206" spans="1:6" ht="13.5" thickBot="1" x14ac:dyDescent="0.25">
      <c r="A206" s="99" t="s">
        <v>12</v>
      </c>
      <c r="B206" s="100" t="s">
        <v>6</v>
      </c>
      <c r="C206" s="100">
        <v>12</v>
      </c>
      <c r="D206" s="101">
        <f>SUM(E203:E205)</f>
        <v>24450</v>
      </c>
      <c r="E206" s="101">
        <f>D206/C206</f>
        <v>2037.5</v>
      </c>
    </row>
    <row r="207" spans="1:6" ht="11.25" customHeight="1" thickBot="1" x14ac:dyDescent="0.25">
      <c r="D207" s="119" t="s">
        <v>190</v>
      </c>
      <c r="E207" s="49">
        <f>$B$48</f>
        <v>1</v>
      </c>
      <c r="F207" s="120">
        <f>E206*E207</f>
        <v>2037.5</v>
      </c>
    </row>
    <row r="209" spans="1:7" x14ac:dyDescent="0.2">
      <c r="A209" s="9" t="s">
        <v>49</v>
      </c>
      <c r="B209" s="32"/>
    </row>
    <row r="210" spans="1:7" x14ac:dyDescent="0.2">
      <c r="B210" s="32"/>
    </row>
    <row r="211" spans="1:7" ht="11.25" customHeight="1" x14ac:dyDescent="0.2">
      <c r="A211" s="99" t="s">
        <v>114</v>
      </c>
      <c r="B211" s="110">
        <v>7000</v>
      </c>
    </row>
    <row r="212" spans="1:7" ht="13.5" thickBot="1" x14ac:dyDescent="0.25">
      <c r="B212" s="32"/>
    </row>
    <row r="213" spans="1:7" ht="13.5" thickBot="1" x14ac:dyDescent="0.25">
      <c r="A213" s="105" t="s">
        <v>60</v>
      </c>
      <c r="B213" s="106" t="s">
        <v>61</v>
      </c>
      <c r="C213" s="106" t="s">
        <v>244</v>
      </c>
      <c r="D213" s="107" t="s">
        <v>227</v>
      </c>
      <c r="E213" s="107" t="s">
        <v>62</v>
      </c>
      <c r="F213" s="61" t="s">
        <v>63</v>
      </c>
    </row>
    <row r="214" spans="1:7" ht="11.25" customHeight="1" x14ac:dyDescent="0.2">
      <c r="A214" s="16" t="s">
        <v>13</v>
      </c>
      <c r="B214" s="17" t="s">
        <v>14</v>
      </c>
      <c r="C214" s="96">
        <v>2.0499999999999998</v>
      </c>
      <c r="D214" s="320">
        <v>7.35</v>
      </c>
      <c r="E214" s="18"/>
    </row>
    <row r="215" spans="1:7" ht="11.25" customHeight="1" x14ac:dyDescent="0.2">
      <c r="A215" s="16" t="s">
        <v>15</v>
      </c>
      <c r="B215" s="17" t="s">
        <v>16</v>
      </c>
      <c r="C215" s="90">
        <f>B211</f>
        <v>7000</v>
      </c>
      <c r="D215" s="260">
        <f>IFERROR(+D214/C214,"-")</f>
        <v>3.5853658536585367</v>
      </c>
      <c r="E215" s="18">
        <f>IFERROR(C215*D215,"-")</f>
        <v>25097.560975609758</v>
      </c>
    </row>
    <row r="216" spans="1:7" ht="11.25" customHeight="1" x14ac:dyDescent="0.2">
      <c r="A216" s="302" t="s">
        <v>313</v>
      </c>
      <c r="B216" s="307" t="s">
        <v>14</v>
      </c>
      <c r="C216" s="96">
        <f>C214*20</f>
        <v>41</v>
      </c>
      <c r="D216" s="320">
        <v>8</v>
      </c>
      <c r="E216" s="18"/>
    </row>
    <row r="217" spans="1:7" ht="24.75" customHeight="1" x14ac:dyDescent="0.2">
      <c r="A217" s="302" t="s">
        <v>312</v>
      </c>
      <c r="B217" s="307" t="s">
        <v>16</v>
      </c>
      <c r="C217" s="321">
        <f>B211</f>
        <v>7000</v>
      </c>
      <c r="D217" s="49">
        <f>IFERROR(+D216/C216,"-")</f>
        <v>0.1951219512195122</v>
      </c>
      <c r="E217" s="18">
        <f t="shared" ref="E217" si="3">IFERROR(C217*D217,"-")</f>
        <v>1365.8536585365855</v>
      </c>
    </row>
    <row r="218" spans="1:7" ht="12.6" customHeight="1" x14ac:dyDescent="0.2">
      <c r="A218" s="16" t="s">
        <v>228</v>
      </c>
      <c r="B218" s="17" t="s">
        <v>17</v>
      </c>
      <c r="C218" s="96">
        <v>5</v>
      </c>
      <c r="D218" s="86">
        <v>20</v>
      </c>
      <c r="E218" s="18"/>
    </row>
    <row r="219" spans="1:7" x14ac:dyDescent="0.2">
      <c r="A219" s="16" t="s">
        <v>18</v>
      </c>
      <c r="B219" s="17" t="s">
        <v>16</v>
      </c>
      <c r="C219" s="90">
        <f>C215</f>
        <v>7000</v>
      </c>
      <c r="D219" s="260">
        <f>+C218*D218/1000</f>
        <v>0.1</v>
      </c>
      <c r="E219" s="18">
        <f>C219*D219</f>
        <v>700</v>
      </c>
    </row>
    <row r="220" spans="1:7" ht="16.149999999999999" customHeight="1" x14ac:dyDescent="0.2">
      <c r="A220" s="16" t="s">
        <v>229</v>
      </c>
      <c r="B220" s="17" t="s">
        <v>17</v>
      </c>
      <c r="C220" s="96">
        <v>1</v>
      </c>
      <c r="D220" s="86">
        <v>23</v>
      </c>
      <c r="E220" s="18"/>
    </row>
    <row r="221" spans="1:7" x14ac:dyDescent="0.2">
      <c r="A221" s="16" t="s">
        <v>19</v>
      </c>
      <c r="B221" s="17" t="s">
        <v>16</v>
      </c>
      <c r="C221" s="90">
        <f>C215</f>
        <v>7000</v>
      </c>
      <c r="D221" s="260">
        <f>+C220*D220/1000</f>
        <v>2.3E-2</v>
      </c>
      <c r="E221" s="18">
        <f>C221*D221</f>
        <v>161</v>
      </c>
    </row>
    <row r="222" spans="1:7" ht="25.5" customHeight="1" x14ac:dyDescent="0.2">
      <c r="A222" s="16" t="s">
        <v>230</v>
      </c>
      <c r="B222" s="17" t="s">
        <v>17</v>
      </c>
      <c r="C222" s="96">
        <v>15</v>
      </c>
      <c r="D222" s="86">
        <v>25</v>
      </c>
      <c r="E222" s="18"/>
    </row>
    <row r="223" spans="1:7" ht="12.6" customHeight="1" x14ac:dyDescent="0.2">
      <c r="A223" s="16" t="s">
        <v>20</v>
      </c>
      <c r="B223" s="17" t="s">
        <v>16</v>
      </c>
      <c r="C223" s="90">
        <f>C215</f>
        <v>7000</v>
      </c>
      <c r="D223" s="260">
        <f>+C222*D222/1000</f>
        <v>0.375</v>
      </c>
      <c r="E223" s="18">
        <f>C223*D223</f>
        <v>2625</v>
      </c>
    </row>
    <row r="224" spans="1:7" s="4" customFormat="1" ht="9.75" customHeight="1" x14ac:dyDescent="0.2">
      <c r="A224" s="16" t="s">
        <v>21</v>
      </c>
      <c r="B224" s="17" t="s">
        <v>22</v>
      </c>
      <c r="C224" s="96">
        <v>1</v>
      </c>
      <c r="D224" s="86">
        <v>27</v>
      </c>
      <c r="E224" s="18"/>
      <c r="F224" s="10"/>
      <c r="G224" s="6"/>
    </row>
    <row r="225" spans="1:7" s="4" customFormat="1" ht="9.75" customHeight="1" x14ac:dyDescent="0.2">
      <c r="A225" s="16" t="s">
        <v>23</v>
      </c>
      <c r="B225" s="17" t="s">
        <v>16</v>
      </c>
      <c r="C225" s="90">
        <f>C215</f>
        <v>7000</v>
      </c>
      <c r="D225" s="260">
        <f>+C224*D224/1000</f>
        <v>2.7E-2</v>
      </c>
      <c r="E225" s="18">
        <f>C225*D225</f>
        <v>189</v>
      </c>
      <c r="F225" s="10"/>
      <c r="G225" s="6"/>
    </row>
    <row r="226" spans="1:7" s="4" customFormat="1" ht="9.75" customHeight="1" thickBot="1" x14ac:dyDescent="0.25">
      <c r="A226" s="99" t="s">
        <v>243</v>
      </c>
      <c r="B226" s="100" t="s">
        <v>115</v>
      </c>
      <c r="C226" s="261"/>
      <c r="D226" s="262">
        <f>IFERROR(D215+D219+D221+D223+D225,0)</f>
        <v>4.1103658536585366</v>
      </c>
      <c r="E226" s="18"/>
      <c r="F226" s="10"/>
      <c r="G226" s="6"/>
    </row>
    <row r="227" spans="1:7" ht="13.5" thickBot="1" x14ac:dyDescent="0.25">
      <c r="F227" s="21">
        <f>SUM(E214:E225)</f>
        <v>30138.414634146342</v>
      </c>
    </row>
    <row r="229" spans="1:7" ht="13.5" thickBot="1" x14ac:dyDescent="0.25">
      <c r="A229" s="9" t="s">
        <v>50</v>
      </c>
    </row>
    <row r="230" spans="1:7" ht="13.5" thickBot="1" x14ac:dyDescent="0.25">
      <c r="A230" s="58" t="s">
        <v>60</v>
      </c>
      <c r="B230" s="59" t="s">
        <v>61</v>
      </c>
      <c r="C230" s="59" t="s">
        <v>38</v>
      </c>
      <c r="D230" s="60" t="s">
        <v>227</v>
      </c>
      <c r="E230" s="60" t="s">
        <v>62</v>
      </c>
      <c r="F230" s="61" t="s">
        <v>63</v>
      </c>
    </row>
    <row r="231" spans="1:7" ht="13.5" thickBot="1" x14ac:dyDescent="0.25">
      <c r="A231" s="13" t="s">
        <v>113</v>
      </c>
      <c r="B231" s="14" t="s">
        <v>115</v>
      </c>
      <c r="C231" s="90">
        <f>C215</f>
        <v>7000</v>
      </c>
      <c r="D231" s="85">
        <v>1.1499999999999999</v>
      </c>
      <c r="E231" s="15">
        <f>C231*D231</f>
        <v>8049.9999999999991</v>
      </c>
    </row>
    <row r="232" spans="1:7" ht="13.5" thickBot="1" x14ac:dyDescent="0.25">
      <c r="F232" s="21">
        <f>E231</f>
        <v>8049.9999999999991</v>
      </c>
    </row>
    <row r="234" spans="1:7" ht="13.5" thickBot="1" x14ac:dyDescent="0.25">
      <c r="A234" s="9" t="s">
        <v>58</v>
      </c>
    </row>
    <row r="235" spans="1:7" ht="13.5" thickBot="1" x14ac:dyDescent="0.25">
      <c r="A235" s="58" t="s">
        <v>60</v>
      </c>
      <c r="B235" s="59" t="s">
        <v>61</v>
      </c>
      <c r="C235" s="59" t="s">
        <v>38</v>
      </c>
      <c r="D235" s="60" t="s">
        <v>227</v>
      </c>
      <c r="E235" s="60" t="s">
        <v>62</v>
      </c>
      <c r="F235" s="61" t="s">
        <v>63</v>
      </c>
    </row>
    <row r="236" spans="1:7" x14ac:dyDescent="0.2">
      <c r="A236" s="295" t="s">
        <v>285</v>
      </c>
      <c r="B236" s="14" t="s">
        <v>8</v>
      </c>
      <c r="C236" s="92">
        <v>18</v>
      </c>
      <c r="D236" s="85">
        <v>2000</v>
      </c>
      <c r="E236" s="15">
        <f>C236*D236</f>
        <v>36000</v>
      </c>
    </row>
    <row r="237" spans="1:7" x14ac:dyDescent="0.2">
      <c r="A237" s="13" t="s">
        <v>116</v>
      </c>
      <c r="B237" s="14" t="s">
        <v>8</v>
      </c>
      <c r="C237" s="92">
        <v>1</v>
      </c>
      <c r="D237" s="102"/>
      <c r="E237" s="15"/>
    </row>
    <row r="238" spans="1:7" x14ac:dyDescent="0.2">
      <c r="A238" s="13" t="s">
        <v>67</v>
      </c>
      <c r="B238" s="14" t="s">
        <v>8</v>
      </c>
      <c r="C238" s="15">
        <f>C236*C237</f>
        <v>18</v>
      </c>
      <c r="D238" s="85">
        <v>709</v>
      </c>
      <c r="E238" s="15">
        <f>C238*D238</f>
        <v>12762</v>
      </c>
    </row>
    <row r="239" spans="1:7" x14ac:dyDescent="0.2">
      <c r="A239" s="302" t="s">
        <v>281</v>
      </c>
      <c r="B239" s="17" t="s">
        <v>24</v>
      </c>
      <c r="C239" s="95">
        <v>100000</v>
      </c>
      <c r="D239" s="18">
        <f>E236+E238</f>
        <v>48762</v>
      </c>
      <c r="E239" s="18">
        <f>IFERROR(D239/C239,"-")</f>
        <v>0.48762</v>
      </c>
    </row>
    <row r="240" spans="1:7" ht="13.5" thickBot="1" x14ac:dyDescent="0.25">
      <c r="A240" s="16" t="s">
        <v>52</v>
      </c>
      <c r="B240" s="17" t="s">
        <v>16</v>
      </c>
      <c r="C240" s="90">
        <f>B211</f>
        <v>7000</v>
      </c>
      <c r="D240" s="18">
        <f>E239</f>
        <v>0.48762</v>
      </c>
      <c r="E240" s="18">
        <f>IFERROR(C240*D240,0)</f>
        <v>3413.34</v>
      </c>
    </row>
    <row r="241" spans="1:7" ht="13.5" thickBot="1" x14ac:dyDescent="0.25">
      <c r="F241" s="21">
        <f>E240</f>
        <v>3413.34</v>
      </c>
    </row>
    <row r="243" spans="1:7" x14ac:dyDescent="0.2">
      <c r="A243" s="7" t="s">
        <v>293</v>
      </c>
    </row>
    <row r="245" spans="1:7" ht="13.5" thickBot="1" x14ac:dyDescent="0.25">
      <c r="A245" s="103" t="s">
        <v>294</v>
      </c>
    </row>
    <row r="246" spans="1:7" ht="13.5" thickBot="1" x14ac:dyDescent="0.25">
      <c r="A246" s="58" t="s">
        <v>60</v>
      </c>
      <c r="B246" s="59" t="s">
        <v>61</v>
      </c>
      <c r="C246" s="59" t="s">
        <v>38</v>
      </c>
      <c r="D246" s="60" t="s">
        <v>227</v>
      </c>
      <c r="E246" s="60" t="s">
        <v>62</v>
      </c>
      <c r="F246" s="61" t="s">
        <v>63</v>
      </c>
    </row>
    <row r="247" spans="1:7" x14ac:dyDescent="0.2">
      <c r="A247" s="13" t="s">
        <v>102</v>
      </c>
      <c r="B247" s="14" t="s">
        <v>8</v>
      </c>
      <c r="C247" s="265">
        <v>1</v>
      </c>
      <c r="D247" s="85">
        <v>225000</v>
      </c>
      <c r="E247" s="15">
        <f>C247*D247</f>
        <v>225000</v>
      </c>
    </row>
    <row r="248" spans="1:7" x14ac:dyDescent="0.2">
      <c r="A248" s="16" t="s">
        <v>96</v>
      </c>
      <c r="B248" s="17" t="s">
        <v>97</v>
      </c>
      <c r="C248" s="84">
        <v>10</v>
      </c>
      <c r="D248" s="81"/>
      <c r="E248" s="18"/>
    </row>
    <row r="249" spans="1:7" x14ac:dyDescent="0.2">
      <c r="A249" s="16" t="s">
        <v>201</v>
      </c>
      <c r="B249" s="17" t="s">
        <v>97</v>
      </c>
      <c r="C249" s="84">
        <v>0</v>
      </c>
      <c r="D249" s="18"/>
      <c r="E249" s="18"/>
      <c r="F249" s="20"/>
    </row>
    <row r="250" spans="1:7" x14ac:dyDescent="0.2">
      <c r="A250" s="16" t="s">
        <v>100</v>
      </c>
      <c r="B250" s="17" t="s">
        <v>1</v>
      </c>
      <c r="C250" s="132">
        <f>IFERROR(VLOOKUP(C248,'5. Depreciação'!A3:B17,2,FALSE),0)</f>
        <v>65.180000000000007</v>
      </c>
      <c r="D250" s="18">
        <f>E247</f>
        <v>225000</v>
      </c>
      <c r="E250" s="18">
        <f>C250*D250/100</f>
        <v>146655.00000000003</v>
      </c>
      <c r="G250" s="9"/>
    </row>
    <row r="251" spans="1:7" ht="13.5" thickBot="1" x14ac:dyDescent="0.25">
      <c r="A251" s="268" t="s">
        <v>47</v>
      </c>
      <c r="B251" s="269" t="s">
        <v>6</v>
      </c>
      <c r="C251" s="269">
        <f>C248*12</f>
        <v>120</v>
      </c>
      <c r="D251" s="270">
        <f>IF(C249&lt;=C248,E250,0)</f>
        <v>146655.00000000003</v>
      </c>
      <c r="E251" s="270">
        <f>IFERROR(D251/C251,0)</f>
        <v>1222.1250000000002</v>
      </c>
      <c r="G251" s="9"/>
    </row>
    <row r="252" spans="1:7" ht="13.5" thickTop="1" x14ac:dyDescent="0.2">
      <c r="A252" s="295" t="s">
        <v>288</v>
      </c>
      <c r="B252" s="14" t="s">
        <v>8</v>
      </c>
      <c r="C252" s="14">
        <f>C247</f>
        <v>1</v>
      </c>
      <c r="D252" s="85">
        <v>15000</v>
      </c>
      <c r="E252" s="15">
        <f>C252*D252</f>
        <v>15000</v>
      </c>
      <c r="G252" s="9"/>
    </row>
    <row r="253" spans="1:7" x14ac:dyDescent="0.2">
      <c r="A253" s="302" t="s">
        <v>287</v>
      </c>
      <c r="B253" s="17" t="s">
        <v>97</v>
      </c>
      <c r="C253" s="84">
        <v>10</v>
      </c>
      <c r="D253" s="18"/>
      <c r="E253" s="18"/>
      <c r="G253" s="9"/>
    </row>
    <row r="254" spans="1:7" x14ac:dyDescent="0.2">
      <c r="A254" s="302" t="s">
        <v>286</v>
      </c>
      <c r="B254" s="17" t="s">
        <v>97</v>
      </c>
      <c r="C254" s="84">
        <v>0</v>
      </c>
      <c r="D254" s="18"/>
      <c r="E254" s="18"/>
      <c r="F254" s="20"/>
      <c r="G254" s="9"/>
    </row>
    <row r="255" spans="1:7" x14ac:dyDescent="0.2">
      <c r="A255" s="302" t="s">
        <v>289</v>
      </c>
      <c r="B255" s="17" t="s">
        <v>1</v>
      </c>
      <c r="C255" s="133">
        <f>IFERROR(VLOOKUP(C253,'5. Depreciação'!A3:B17,2,FALSE),0)</f>
        <v>65.180000000000007</v>
      </c>
      <c r="D255" s="18">
        <f>E252</f>
        <v>15000</v>
      </c>
      <c r="E255" s="18">
        <f>C255*D255/100</f>
        <v>9777.0000000000018</v>
      </c>
      <c r="G255" s="9"/>
    </row>
    <row r="256" spans="1:7" x14ac:dyDescent="0.2">
      <c r="A256" s="99" t="s">
        <v>290</v>
      </c>
      <c r="B256" s="100" t="s">
        <v>6</v>
      </c>
      <c r="C256" s="100">
        <f>C253*12</f>
        <v>120</v>
      </c>
      <c r="D256" s="101">
        <f>IF(C254&lt;=C253,E255,0)</f>
        <v>9777.0000000000018</v>
      </c>
      <c r="E256" s="101">
        <f>IFERROR(D256/C256,0)</f>
        <v>81.475000000000009</v>
      </c>
      <c r="G256" s="9"/>
    </row>
    <row r="257" spans="1:10" x14ac:dyDescent="0.2">
      <c r="A257" s="113" t="s">
        <v>245</v>
      </c>
      <c r="B257" s="114"/>
      <c r="C257" s="114"/>
      <c r="D257" s="115"/>
      <c r="E257" s="116">
        <f>E251+E256</f>
        <v>1303.6000000000001</v>
      </c>
      <c r="G257" s="9"/>
    </row>
    <row r="258" spans="1:10" ht="13.5" thickBot="1" x14ac:dyDescent="0.25">
      <c r="A258" s="99" t="s">
        <v>246</v>
      </c>
      <c r="B258" s="100" t="s">
        <v>8</v>
      </c>
      <c r="C258" s="84">
        <v>1.1000000000000001</v>
      </c>
      <c r="D258" s="101">
        <f>E257</f>
        <v>1303.6000000000001</v>
      </c>
      <c r="E258" s="116">
        <f>C258*D258</f>
        <v>1433.9600000000003</v>
      </c>
      <c r="G258" s="9"/>
    </row>
    <row r="259" spans="1:10" ht="13.5" thickBot="1" x14ac:dyDescent="0.25">
      <c r="A259" s="264"/>
      <c r="B259" s="264"/>
      <c r="C259" s="264"/>
      <c r="D259" s="119" t="s">
        <v>190</v>
      </c>
      <c r="E259" s="49">
        <f>$B$48</f>
        <v>1</v>
      </c>
      <c r="F259" s="21">
        <f>E258*E259</f>
        <v>1433.9600000000003</v>
      </c>
      <c r="G259" s="9"/>
    </row>
    <row r="260" spans="1:10" x14ac:dyDescent="0.2">
      <c r="G260" s="9"/>
    </row>
    <row r="261" spans="1:10" ht="13.5" thickBot="1" x14ac:dyDescent="0.25">
      <c r="A261" s="103" t="s">
        <v>295</v>
      </c>
      <c r="G261" s="9"/>
    </row>
    <row r="262" spans="1:10" ht="13.5" thickBot="1" x14ac:dyDescent="0.25">
      <c r="A262" s="105" t="s">
        <v>60</v>
      </c>
      <c r="B262" s="106" t="s">
        <v>61</v>
      </c>
      <c r="C262" s="106" t="s">
        <v>38</v>
      </c>
      <c r="D262" s="60" t="s">
        <v>227</v>
      </c>
      <c r="E262" s="107" t="s">
        <v>62</v>
      </c>
      <c r="F262" s="61" t="s">
        <v>63</v>
      </c>
      <c r="G262" s="9"/>
    </row>
    <row r="263" spans="1:10" x14ac:dyDescent="0.2">
      <c r="A263" s="16" t="s">
        <v>106</v>
      </c>
      <c r="B263" s="17" t="s">
        <v>8</v>
      </c>
      <c r="C263" s="265">
        <v>1</v>
      </c>
      <c r="D263" s="18">
        <f>D247</f>
        <v>225000</v>
      </c>
      <c r="E263" s="18">
        <f>C263*D263</f>
        <v>225000</v>
      </c>
      <c r="F263" s="20"/>
      <c r="G263" s="9"/>
    </row>
    <row r="264" spans="1:10" x14ac:dyDescent="0.2">
      <c r="A264" s="16" t="s">
        <v>205</v>
      </c>
      <c r="B264" s="17" t="s">
        <v>1</v>
      </c>
      <c r="C264" s="84">
        <f>C187</f>
        <v>13.25</v>
      </c>
      <c r="D264" s="18"/>
      <c r="E264" s="18"/>
      <c r="F264" s="20"/>
    </row>
    <row r="265" spans="1:10" x14ac:dyDescent="0.2">
      <c r="A265" s="16" t="s">
        <v>203</v>
      </c>
      <c r="B265" s="17" t="s">
        <v>33</v>
      </c>
      <c r="C265" s="138">
        <f>IFERROR(IF(C249&lt;=C248,E247-(C250/(100*C248)*C249)*E247,E247-E250),0)</f>
        <v>225000</v>
      </c>
      <c r="D265" s="18"/>
      <c r="E265" s="18"/>
      <c r="F265" s="20"/>
    </row>
    <row r="266" spans="1:10" x14ac:dyDescent="0.2">
      <c r="A266" s="16" t="s">
        <v>110</v>
      </c>
      <c r="B266" s="17" t="s">
        <v>33</v>
      </c>
      <c r="C266" s="81">
        <f>IFERROR(IF(C249&gt;=C248,C265,((((C265)-(E247-E250))*(((C248-C249)+1)/(2*(C248-C249))))+(E247-E250))),0)</f>
        <v>159005.25</v>
      </c>
      <c r="D266" s="18"/>
      <c r="E266" s="18"/>
      <c r="F266" s="20"/>
    </row>
    <row r="267" spans="1:10" ht="13.5" thickBot="1" x14ac:dyDescent="0.25">
      <c r="A267" s="268" t="s">
        <v>111</v>
      </c>
      <c r="B267" s="269" t="s">
        <v>33</v>
      </c>
      <c r="C267" s="269"/>
      <c r="D267" s="271">
        <f>C264*C266/12/100</f>
        <v>1755.6829687500001</v>
      </c>
      <c r="E267" s="270">
        <f>D267</f>
        <v>1755.6829687500001</v>
      </c>
      <c r="F267" s="20"/>
    </row>
    <row r="268" spans="1:10" ht="13.5" thickTop="1" x14ac:dyDescent="0.2">
      <c r="A268" s="13" t="s">
        <v>107</v>
      </c>
      <c r="B268" s="14" t="s">
        <v>8</v>
      </c>
      <c r="C268" s="14">
        <f>C252</f>
        <v>1</v>
      </c>
      <c r="D268" s="15">
        <f>D252</f>
        <v>15000</v>
      </c>
      <c r="E268" s="15">
        <f>C268*D268</f>
        <v>15000</v>
      </c>
      <c r="F268" s="20"/>
    </row>
    <row r="269" spans="1:10" x14ac:dyDescent="0.2">
      <c r="A269" s="16" t="s">
        <v>205</v>
      </c>
      <c r="B269" s="17" t="s">
        <v>1</v>
      </c>
      <c r="C269" s="266">
        <f>C264</f>
        <v>13.25</v>
      </c>
      <c r="D269" s="18"/>
      <c r="E269" s="18"/>
      <c r="F269" s="20"/>
    </row>
    <row r="270" spans="1:10" x14ac:dyDescent="0.2">
      <c r="A270" s="16" t="s">
        <v>204</v>
      </c>
      <c r="B270" s="17" t="s">
        <v>33</v>
      </c>
      <c r="C270" s="138">
        <f>IFERROR(IF(C254&lt;=C253,E252-(C255/(100*C253)*C254)*E252,E252-E255),0)</f>
        <v>15000</v>
      </c>
      <c r="D270" s="18"/>
      <c r="E270" s="18"/>
      <c r="F270" s="20"/>
    </row>
    <row r="271" spans="1:10" x14ac:dyDescent="0.2">
      <c r="A271" s="16" t="s">
        <v>112</v>
      </c>
      <c r="B271" s="17" t="s">
        <v>33</v>
      </c>
      <c r="C271" s="81">
        <f>IFERROR(IF(C254&gt;=C253,C270,((((C270)-(E252-E255))*(((C253-C254)+1)/(2*(C253-C254))))+(E252-E255))),0)</f>
        <v>10600.349999999999</v>
      </c>
      <c r="D271" s="18"/>
      <c r="E271" s="18"/>
      <c r="F271" s="20"/>
    </row>
    <row r="272" spans="1:10" x14ac:dyDescent="0.2">
      <c r="A272" s="99" t="s">
        <v>109</v>
      </c>
      <c r="B272" s="100" t="s">
        <v>33</v>
      </c>
      <c r="C272" s="100"/>
      <c r="D272" s="109">
        <f>C269*C271/12/100</f>
        <v>117.04553124999998</v>
      </c>
      <c r="E272" s="101">
        <f>D272</f>
        <v>117.04553124999998</v>
      </c>
      <c r="F272" s="20"/>
      <c r="G272" s="82"/>
      <c r="H272" s="50"/>
      <c r="I272" s="50"/>
      <c r="J272" s="50"/>
    </row>
    <row r="273" spans="1:6" x14ac:dyDescent="0.2">
      <c r="A273" s="113" t="s">
        <v>245</v>
      </c>
      <c r="B273" s="114"/>
      <c r="C273" s="114"/>
      <c r="D273" s="115"/>
      <c r="E273" s="116">
        <f>E267+E272</f>
        <v>1872.7285000000002</v>
      </c>
      <c r="F273" s="20"/>
    </row>
    <row r="274" spans="1:6" ht="13.5" thickBot="1" x14ac:dyDescent="0.25">
      <c r="A274" s="99" t="s">
        <v>246</v>
      </c>
      <c r="B274" s="100" t="s">
        <v>8</v>
      </c>
      <c r="C274" s="266">
        <f>C258</f>
        <v>1.1000000000000001</v>
      </c>
      <c r="D274" s="101">
        <f>E273</f>
        <v>1872.7285000000002</v>
      </c>
      <c r="E274" s="116">
        <f>C274*D274</f>
        <v>2060.0013500000005</v>
      </c>
      <c r="F274" s="20"/>
    </row>
    <row r="275" spans="1:6" ht="13.5" thickBot="1" x14ac:dyDescent="0.25">
      <c r="C275" s="19"/>
      <c r="D275" s="119" t="s">
        <v>190</v>
      </c>
      <c r="E275" s="49">
        <f>$B$48</f>
        <v>1</v>
      </c>
      <c r="F275" s="21">
        <f>E274*E275</f>
        <v>2060.0013500000005</v>
      </c>
    </row>
    <row r="277" spans="1:6" ht="13.5" thickBot="1" x14ac:dyDescent="0.25">
      <c r="A277" s="7" t="s">
        <v>296</v>
      </c>
    </row>
    <row r="278" spans="1:6" ht="13.5" thickBot="1" x14ac:dyDescent="0.25">
      <c r="A278" s="58" t="s">
        <v>60</v>
      </c>
      <c r="B278" s="59" t="s">
        <v>61</v>
      </c>
      <c r="C278" s="59" t="s">
        <v>38</v>
      </c>
      <c r="D278" s="60" t="s">
        <v>227</v>
      </c>
      <c r="E278" s="60" t="s">
        <v>62</v>
      </c>
      <c r="F278" s="61" t="s">
        <v>63</v>
      </c>
    </row>
    <row r="279" spans="1:6" x14ac:dyDescent="0.2">
      <c r="A279" s="13" t="s">
        <v>10</v>
      </c>
      <c r="B279" s="14" t="s">
        <v>8</v>
      </c>
      <c r="C279" s="15">
        <f>C258</f>
        <v>1.1000000000000001</v>
      </c>
      <c r="D279" s="15">
        <f>0.03*($E$169)</f>
        <v>16500</v>
      </c>
      <c r="E279" s="15">
        <f>C279*D279</f>
        <v>18150</v>
      </c>
    </row>
    <row r="280" spans="1:6" x14ac:dyDescent="0.2">
      <c r="A280" s="16" t="s">
        <v>189</v>
      </c>
      <c r="B280" s="17" t="s">
        <v>8</v>
      </c>
      <c r="C280" s="15">
        <f>C258</f>
        <v>1.1000000000000001</v>
      </c>
      <c r="D280" s="86">
        <v>150</v>
      </c>
      <c r="E280" s="18">
        <f>C280*D280</f>
        <v>165</v>
      </c>
    </row>
    <row r="281" spans="1:6" x14ac:dyDescent="0.2">
      <c r="A281" s="16" t="s">
        <v>11</v>
      </c>
      <c r="B281" s="17" t="s">
        <v>8</v>
      </c>
      <c r="C281" s="15">
        <f>C258</f>
        <v>1.1000000000000001</v>
      </c>
      <c r="D281" s="86">
        <v>1250</v>
      </c>
      <c r="E281" s="18">
        <f>C281*D281</f>
        <v>1375</v>
      </c>
      <c r="F281" s="31"/>
    </row>
    <row r="282" spans="1:6" ht="13.5" thickBot="1" x14ac:dyDescent="0.25">
      <c r="A282" s="99" t="s">
        <v>12</v>
      </c>
      <c r="B282" s="100" t="s">
        <v>6</v>
      </c>
      <c r="C282" s="100">
        <v>12</v>
      </c>
      <c r="D282" s="101">
        <f>SUM(E279:E281)</f>
        <v>19690</v>
      </c>
      <c r="E282" s="101">
        <f>D282/C282</f>
        <v>1640.8333333333333</v>
      </c>
    </row>
    <row r="283" spans="1:6" ht="13.5" thickBot="1" x14ac:dyDescent="0.25">
      <c r="D283" s="119" t="s">
        <v>190</v>
      </c>
      <c r="E283" s="49">
        <f>$B$48</f>
        <v>1</v>
      </c>
      <c r="F283" s="120">
        <f>E282*E283</f>
        <v>1640.8333333333333</v>
      </c>
    </row>
    <row r="285" spans="1:6" x14ac:dyDescent="0.2">
      <c r="A285" s="7" t="s">
        <v>297</v>
      </c>
      <c r="B285" s="32"/>
    </row>
    <row r="286" spans="1:6" x14ac:dyDescent="0.2">
      <c r="B286" s="32"/>
    </row>
    <row r="287" spans="1:6" x14ac:dyDescent="0.2">
      <c r="A287" s="99" t="s">
        <v>114</v>
      </c>
      <c r="B287" s="110">
        <v>1000</v>
      </c>
    </row>
    <row r="288" spans="1:6" ht="13.5" thickBot="1" x14ac:dyDescent="0.25">
      <c r="B288" s="32"/>
    </row>
    <row r="289" spans="1:6" ht="13.5" thickBot="1" x14ac:dyDescent="0.25">
      <c r="A289" s="58" t="s">
        <v>60</v>
      </c>
      <c r="B289" s="59" t="s">
        <v>61</v>
      </c>
      <c r="C289" s="59" t="s">
        <v>244</v>
      </c>
      <c r="D289" s="60" t="s">
        <v>227</v>
      </c>
      <c r="E289" s="60" t="s">
        <v>62</v>
      </c>
      <c r="F289" s="61" t="s">
        <v>63</v>
      </c>
    </row>
    <row r="290" spans="1:6" x14ac:dyDescent="0.2">
      <c r="A290" s="13" t="s">
        <v>13</v>
      </c>
      <c r="B290" s="14" t="s">
        <v>14</v>
      </c>
      <c r="C290" s="93">
        <v>8</v>
      </c>
      <c r="D290" s="94">
        <f>D214</f>
        <v>7.35</v>
      </c>
      <c r="E290" s="15"/>
    </row>
    <row r="291" spans="1:6" x14ac:dyDescent="0.2">
      <c r="A291" s="16" t="s">
        <v>15</v>
      </c>
      <c r="B291" s="17" t="s">
        <v>16</v>
      </c>
      <c r="C291" s="90">
        <f>B287</f>
        <v>1000</v>
      </c>
      <c r="D291" s="263">
        <f>IFERROR(+D290/C290,"-")</f>
        <v>0.91874999999999996</v>
      </c>
      <c r="E291" s="18">
        <f>IFERROR(C291*D291,"-")</f>
        <v>918.75</v>
      </c>
    </row>
    <row r="292" spans="1:6" x14ac:dyDescent="0.2">
      <c r="A292" s="16" t="s">
        <v>228</v>
      </c>
      <c r="B292" s="17" t="s">
        <v>17</v>
      </c>
      <c r="C292" s="96">
        <v>5</v>
      </c>
      <c r="D292" s="86">
        <v>20</v>
      </c>
      <c r="E292" s="18"/>
    </row>
    <row r="293" spans="1:6" x14ac:dyDescent="0.2">
      <c r="A293" s="16" t="s">
        <v>18</v>
      </c>
      <c r="B293" s="17" t="s">
        <v>16</v>
      </c>
      <c r="C293" s="90">
        <f>C291</f>
        <v>1000</v>
      </c>
      <c r="D293" s="260">
        <f>+C292*D292/1000</f>
        <v>0.1</v>
      </c>
      <c r="E293" s="18">
        <f>C293*D293</f>
        <v>100</v>
      </c>
    </row>
    <row r="294" spans="1:6" x14ac:dyDescent="0.2">
      <c r="A294" s="16" t="s">
        <v>229</v>
      </c>
      <c r="B294" s="17" t="s">
        <v>17</v>
      </c>
      <c r="C294" s="96">
        <v>1</v>
      </c>
      <c r="D294" s="86">
        <v>23</v>
      </c>
      <c r="E294" s="18"/>
    </row>
    <row r="295" spans="1:6" x14ac:dyDescent="0.2">
      <c r="A295" s="16" t="s">
        <v>19</v>
      </c>
      <c r="B295" s="17" t="s">
        <v>16</v>
      </c>
      <c r="C295" s="90">
        <f>C291</f>
        <v>1000</v>
      </c>
      <c r="D295" s="260">
        <f>+C294*D294/1000</f>
        <v>2.3E-2</v>
      </c>
      <c r="E295" s="18">
        <f>C295*D295</f>
        <v>23</v>
      </c>
    </row>
    <row r="296" spans="1:6" x14ac:dyDescent="0.2">
      <c r="A296" s="16" t="s">
        <v>230</v>
      </c>
      <c r="B296" s="17" t="s">
        <v>17</v>
      </c>
      <c r="C296" s="96">
        <v>7</v>
      </c>
      <c r="D296" s="86">
        <v>25</v>
      </c>
      <c r="E296" s="18"/>
    </row>
    <row r="297" spans="1:6" x14ac:dyDescent="0.2">
      <c r="A297" s="16" t="s">
        <v>20</v>
      </c>
      <c r="B297" s="17" t="s">
        <v>16</v>
      </c>
      <c r="C297" s="90">
        <f>C291</f>
        <v>1000</v>
      </c>
      <c r="D297" s="260">
        <f>+C296*D296/1000</f>
        <v>0.17499999999999999</v>
      </c>
      <c r="E297" s="18">
        <f>C297*D297</f>
        <v>175</v>
      </c>
    </row>
    <row r="298" spans="1:6" x14ac:dyDescent="0.2">
      <c r="A298" s="16" t="s">
        <v>21</v>
      </c>
      <c r="B298" s="17" t="s">
        <v>22</v>
      </c>
      <c r="C298" s="96">
        <v>1</v>
      </c>
      <c r="D298" s="86">
        <v>27</v>
      </c>
      <c r="E298" s="18"/>
    </row>
    <row r="299" spans="1:6" x14ac:dyDescent="0.2">
      <c r="A299" s="16" t="s">
        <v>23</v>
      </c>
      <c r="B299" s="17" t="s">
        <v>16</v>
      </c>
      <c r="C299" s="90">
        <f>C291</f>
        <v>1000</v>
      </c>
      <c r="D299" s="260">
        <f>+C298*D298/1000</f>
        <v>2.7E-2</v>
      </c>
      <c r="E299" s="18">
        <f>C299*D299</f>
        <v>27</v>
      </c>
    </row>
    <row r="300" spans="1:6" ht="13.5" thickBot="1" x14ac:dyDescent="0.25">
      <c r="A300" s="99" t="s">
        <v>243</v>
      </c>
      <c r="B300" s="100" t="s">
        <v>115</v>
      </c>
      <c r="C300" s="261"/>
      <c r="D300" s="262">
        <f>IFERROR(D291+D293+D295+D297+D299,0)</f>
        <v>1.2437499999999999</v>
      </c>
      <c r="E300" s="18"/>
    </row>
    <row r="301" spans="1:6" ht="13.5" thickBot="1" x14ac:dyDescent="0.25">
      <c r="F301" s="21">
        <f>SUM(E290:E299)</f>
        <v>1243.75</v>
      </c>
    </row>
    <row r="303" spans="1:6" ht="13.5" thickBot="1" x14ac:dyDescent="0.25">
      <c r="A303" s="7" t="s">
        <v>298</v>
      </c>
    </row>
    <row r="304" spans="1:6" ht="13.5" thickBot="1" x14ac:dyDescent="0.25">
      <c r="A304" s="58" t="s">
        <v>60</v>
      </c>
      <c r="B304" s="59" t="s">
        <v>61</v>
      </c>
      <c r="C304" s="59" t="s">
        <v>38</v>
      </c>
      <c r="D304" s="60" t="s">
        <v>227</v>
      </c>
      <c r="E304" s="60" t="s">
        <v>62</v>
      </c>
      <c r="F304" s="61" t="s">
        <v>63</v>
      </c>
    </row>
    <row r="305" spans="1:6" ht="13.5" thickBot="1" x14ac:dyDescent="0.25">
      <c r="A305" s="295" t="s">
        <v>291</v>
      </c>
      <c r="B305" s="14" t="s">
        <v>115</v>
      </c>
      <c r="C305" s="90">
        <f>C291</f>
        <v>1000</v>
      </c>
      <c r="D305" s="85">
        <v>1.1499999999999999</v>
      </c>
      <c r="E305" s="15">
        <f>C305*D305</f>
        <v>1150</v>
      </c>
    </row>
    <row r="306" spans="1:6" ht="13.5" thickBot="1" x14ac:dyDescent="0.25">
      <c r="F306" s="21">
        <f>E305</f>
        <v>1150</v>
      </c>
    </row>
    <row r="308" spans="1:6" ht="13.5" thickBot="1" x14ac:dyDescent="0.25">
      <c r="A308" s="7" t="s">
        <v>299</v>
      </c>
    </row>
    <row r="309" spans="1:6" ht="13.5" thickBot="1" x14ac:dyDescent="0.25">
      <c r="A309" s="58" t="s">
        <v>60</v>
      </c>
      <c r="B309" s="59" t="s">
        <v>61</v>
      </c>
      <c r="C309" s="59" t="s">
        <v>38</v>
      </c>
      <c r="D309" s="60" t="s">
        <v>227</v>
      </c>
      <c r="E309" s="60" t="s">
        <v>62</v>
      </c>
      <c r="F309" s="61" t="s">
        <v>63</v>
      </c>
    </row>
    <row r="310" spans="1:6" x14ac:dyDescent="0.2">
      <c r="A310" s="295" t="s">
        <v>316</v>
      </c>
      <c r="B310" s="14" t="s">
        <v>8</v>
      </c>
      <c r="C310" s="92">
        <v>4</v>
      </c>
      <c r="D310" s="85">
        <v>1100</v>
      </c>
      <c r="E310" s="15">
        <f>C310*D310</f>
        <v>4400</v>
      </c>
    </row>
    <row r="311" spans="1:6" x14ac:dyDescent="0.2">
      <c r="A311" s="13" t="s">
        <v>116</v>
      </c>
      <c r="B311" s="14" t="s">
        <v>8</v>
      </c>
      <c r="C311" s="92">
        <v>0</v>
      </c>
      <c r="D311" s="102"/>
      <c r="E311" s="15"/>
    </row>
    <row r="312" spans="1:6" x14ac:dyDescent="0.2">
      <c r="A312" s="13" t="s">
        <v>67</v>
      </c>
      <c r="B312" s="14" t="s">
        <v>8</v>
      </c>
      <c r="C312" s="15">
        <f>C310*C311</f>
        <v>0</v>
      </c>
      <c r="D312" s="85">
        <v>0</v>
      </c>
      <c r="E312" s="15">
        <f>C312*D312</f>
        <v>0</v>
      </c>
    </row>
    <row r="313" spans="1:6" x14ac:dyDescent="0.2">
      <c r="A313" s="302" t="s">
        <v>292</v>
      </c>
      <c r="B313" s="17" t="s">
        <v>24</v>
      </c>
      <c r="C313" s="95">
        <v>50000</v>
      </c>
      <c r="D313" s="18">
        <f>E310+E312</f>
        <v>4400</v>
      </c>
      <c r="E313" s="18">
        <f>IFERROR(D313/C313,"-")</f>
        <v>8.7999999999999995E-2</v>
      </c>
    </row>
    <row r="314" spans="1:6" ht="13.5" thickBot="1" x14ac:dyDescent="0.25">
      <c r="A314" s="16" t="s">
        <v>52</v>
      </c>
      <c r="B314" s="17" t="s">
        <v>16</v>
      </c>
      <c r="C314" s="90">
        <f>B287</f>
        <v>1000</v>
      </c>
      <c r="D314" s="18">
        <f>E313</f>
        <v>8.7999999999999995E-2</v>
      </c>
      <c r="E314" s="18">
        <f>IFERROR(C314*D314,0)</f>
        <v>88</v>
      </c>
    </row>
    <row r="315" spans="1:6" ht="13.5" thickBot="1" x14ac:dyDescent="0.25">
      <c r="F315" s="21">
        <f>E314</f>
        <v>88</v>
      </c>
    </row>
    <row r="316" spans="1:6" ht="13.5" thickBot="1" x14ac:dyDescent="0.25"/>
    <row r="317" spans="1:6" ht="13.5" thickBot="1" x14ac:dyDescent="0.25">
      <c r="A317" s="24" t="s">
        <v>215</v>
      </c>
      <c r="B317" s="25"/>
      <c r="C317" s="25"/>
      <c r="D317" s="26"/>
      <c r="E317" s="27"/>
      <c r="F317" s="21">
        <f>+SUM(F169:F315)</f>
        <v>84011.68697372968</v>
      </c>
    </row>
    <row r="319" spans="1:6" x14ac:dyDescent="0.2">
      <c r="A319" s="34" t="s">
        <v>71</v>
      </c>
      <c r="B319" s="34"/>
      <c r="C319" s="34"/>
      <c r="D319" s="35"/>
      <c r="E319" s="35"/>
      <c r="F319" s="33"/>
    </row>
    <row r="320" spans="1:6" ht="13.5" thickBot="1" x14ac:dyDescent="0.25"/>
    <row r="321" spans="1:6" ht="13.5" thickBot="1" x14ac:dyDescent="0.25">
      <c r="A321" s="58" t="s">
        <v>60</v>
      </c>
      <c r="B321" s="59" t="s">
        <v>61</v>
      </c>
      <c r="C321" s="59" t="s">
        <v>38</v>
      </c>
      <c r="D321" s="60" t="s">
        <v>227</v>
      </c>
      <c r="E321" s="60" t="s">
        <v>62</v>
      </c>
      <c r="F321" s="61" t="s">
        <v>63</v>
      </c>
    </row>
    <row r="322" spans="1:6" x14ac:dyDescent="0.2">
      <c r="A322" s="16" t="s">
        <v>68</v>
      </c>
      <c r="B322" s="17" t="s">
        <v>8</v>
      </c>
      <c r="C322" s="97">
        <v>0.5</v>
      </c>
      <c r="D322" s="85">
        <v>40</v>
      </c>
      <c r="E322" s="18">
        <f>C322*D322</f>
        <v>20</v>
      </c>
      <c r="F322" s="54"/>
    </row>
    <row r="323" spans="1:6" x14ac:dyDescent="0.2">
      <c r="A323" s="16" t="s">
        <v>26</v>
      </c>
      <c r="B323" s="17" t="s">
        <v>8</v>
      </c>
      <c r="C323" s="97">
        <v>0.16666666666666666</v>
      </c>
      <c r="D323" s="85">
        <v>35</v>
      </c>
      <c r="E323" s="18">
        <f>C323*D323</f>
        <v>5.833333333333333</v>
      </c>
      <c r="F323" s="54"/>
    </row>
    <row r="324" spans="1:6" x14ac:dyDescent="0.2">
      <c r="A324" s="302" t="s">
        <v>300</v>
      </c>
      <c r="B324" s="17" t="s">
        <v>8</v>
      </c>
      <c r="C324" s="97">
        <v>0.16666666666666666</v>
      </c>
      <c r="D324" s="85">
        <v>50</v>
      </c>
      <c r="E324" s="18">
        <f>C324*D324</f>
        <v>8.3333333333333321</v>
      </c>
      <c r="F324" s="54"/>
    </row>
    <row r="325" spans="1:6" x14ac:dyDescent="0.2">
      <c r="A325" s="16" t="s">
        <v>27</v>
      </c>
      <c r="B325" s="17" t="s">
        <v>8</v>
      </c>
      <c r="C325" s="97">
        <v>0.33333333333333331</v>
      </c>
      <c r="D325" s="85">
        <v>31</v>
      </c>
      <c r="E325" s="18">
        <f>C325*D325</f>
        <v>10.333333333333332</v>
      </c>
      <c r="F325" s="54"/>
    </row>
    <row r="326" spans="1:6" ht="13.5" thickBot="1" x14ac:dyDescent="0.25">
      <c r="A326" s="16" t="s">
        <v>56</v>
      </c>
      <c r="B326" s="17" t="s">
        <v>54</v>
      </c>
      <c r="C326" s="97">
        <v>8.3333333333333329E-2</v>
      </c>
      <c r="D326" s="85">
        <v>200</v>
      </c>
      <c r="E326" s="18">
        <f>C326*D326</f>
        <v>16.666666666666664</v>
      </c>
      <c r="F326" s="54"/>
    </row>
    <row r="327" spans="1:6" ht="13.5" thickBot="1" x14ac:dyDescent="0.25">
      <c r="A327" s="34"/>
      <c r="B327" s="34"/>
      <c r="C327" s="34"/>
      <c r="D327" s="34"/>
      <c r="E327" s="35"/>
      <c r="F327" s="21">
        <f>SUM(E322:E326)</f>
        <v>61.166666666666664</v>
      </c>
    </row>
    <row r="328" spans="1:6" ht="13.5" thickBot="1" x14ac:dyDescent="0.25"/>
    <row r="329" spans="1:6" ht="13.5" thickBot="1" x14ac:dyDescent="0.25">
      <c r="A329" s="24" t="s">
        <v>216</v>
      </c>
      <c r="B329" s="25"/>
      <c r="C329" s="25"/>
      <c r="D329" s="26"/>
      <c r="E329" s="27"/>
      <c r="F329" s="21">
        <f>+F327</f>
        <v>61.166666666666664</v>
      </c>
    </row>
    <row r="331" spans="1:6" x14ac:dyDescent="0.2">
      <c r="A331" s="34" t="s">
        <v>72</v>
      </c>
      <c r="B331" s="34"/>
      <c r="C331" s="34"/>
      <c r="D331" s="35"/>
      <c r="E331" s="35"/>
      <c r="F331" s="33"/>
    </row>
    <row r="332" spans="1:6" ht="13.5" thickBot="1" x14ac:dyDescent="0.25"/>
    <row r="333" spans="1:6" ht="13.5" thickBot="1" x14ac:dyDescent="0.25">
      <c r="A333" s="58" t="s">
        <v>60</v>
      </c>
      <c r="B333" s="59" t="s">
        <v>61</v>
      </c>
      <c r="C333" s="59" t="s">
        <v>38</v>
      </c>
      <c r="D333" s="60" t="s">
        <v>227</v>
      </c>
      <c r="E333" s="60" t="s">
        <v>62</v>
      </c>
      <c r="F333" s="61" t="s">
        <v>63</v>
      </c>
    </row>
    <row r="334" spans="1:6" x14ac:dyDescent="0.2">
      <c r="A334" s="16" t="s">
        <v>213</v>
      </c>
      <c r="B334" s="52" t="s">
        <v>54</v>
      </c>
      <c r="C334" s="67">
        <v>5</v>
      </c>
      <c r="D334" s="86">
        <v>200</v>
      </c>
      <c r="E334" s="18">
        <f>+D334*C334</f>
        <v>1000</v>
      </c>
      <c r="F334" s="54"/>
    </row>
    <row r="335" spans="1:6" x14ac:dyDescent="0.2">
      <c r="A335" s="16" t="s">
        <v>57</v>
      </c>
      <c r="B335" s="52" t="s">
        <v>6</v>
      </c>
      <c r="C335" s="144">
        <v>60</v>
      </c>
      <c r="D335" s="78">
        <f>SUM(E334:E334)</f>
        <v>1000</v>
      </c>
      <c r="E335" s="78">
        <f>+D335/C335</f>
        <v>16.666666666666668</v>
      </c>
      <c r="F335" s="54"/>
    </row>
    <row r="336" spans="1:6" x14ac:dyDescent="0.2">
      <c r="A336" s="16" t="s">
        <v>214</v>
      </c>
      <c r="B336" s="17" t="s">
        <v>8</v>
      </c>
      <c r="C336" s="67">
        <f>+C334</f>
        <v>5</v>
      </c>
      <c r="D336" s="86">
        <v>100</v>
      </c>
      <c r="E336" s="18">
        <f>C336*D336</f>
        <v>500</v>
      </c>
      <c r="F336" s="54"/>
    </row>
    <row r="337" spans="1:6" ht="13.5" thickBot="1" x14ac:dyDescent="0.25">
      <c r="A337" s="16" t="s">
        <v>35</v>
      </c>
      <c r="B337" s="52" t="s">
        <v>6</v>
      </c>
      <c r="C337" s="144">
        <v>1</v>
      </c>
      <c r="D337" s="78">
        <f>+E336</f>
        <v>500</v>
      </c>
      <c r="E337" s="78">
        <f>+D337/C337</f>
        <v>500</v>
      </c>
      <c r="F337" s="54"/>
    </row>
    <row r="338" spans="1:6" ht="13.5" thickBot="1" x14ac:dyDescent="0.25">
      <c r="A338" s="79"/>
      <c r="B338" s="79"/>
      <c r="C338" s="79"/>
      <c r="D338" s="119" t="s">
        <v>190</v>
      </c>
      <c r="E338" s="49">
        <f>$B$48</f>
        <v>1</v>
      </c>
      <c r="F338" s="80">
        <f>(E335+E337)*E338</f>
        <v>516.66666666666663</v>
      </c>
    </row>
    <row r="339" spans="1:6" ht="13.5" thickBot="1" x14ac:dyDescent="0.25"/>
    <row r="340" spans="1:6" ht="13.5" thickBot="1" x14ac:dyDescent="0.25">
      <c r="A340" s="24" t="s">
        <v>212</v>
      </c>
      <c r="B340" s="25"/>
      <c r="C340" s="25"/>
      <c r="D340" s="26"/>
      <c r="E340" s="27"/>
      <c r="F340" s="21">
        <f>+F338</f>
        <v>516.66666666666663</v>
      </c>
    </row>
    <row r="341" spans="1:6" ht="13.5" thickBot="1" x14ac:dyDescent="0.25"/>
    <row r="342" spans="1:6" ht="13.5" thickBot="1" x14ac:dyDescent="0.25">
      <c r="A342" s="24" t="s">
        <v>217</v>
      </c>
      <c r="B342" s="28"/>
      <c r="C342" s="28"/>
      <c r="D342" s="29"/>
      <c r="E342" s="30"/>
      <c r="F342" s="22">
        <f>+F127+F161+F317+F329+F340</f>
        <v>158341.86563853524</v>
      </c>
    </row>
    <row r="344" spans="1:6" x14ac:dyDescent="0.2">
      <c r="A344" s="11" t="s">
        <v>87</v>
      </c>
    </row>
    <row r="345" spans="1:6" ht="13.5" thickBot="1" x14ac:dyDescent="0.25"/>
    <row r="346" spans="1:6" ht="13.5" thickBot="1" x14ac:dyDescent="0.25">
      <c r="A346" s="58" t="s">
        <v>60</v>
      </c>
      <c r="B346" s="59" t="s">
        <v>61</v>
      </c>
      <c r="C346" s="59" t="s">
        <v>38</v>
      </c>
      <c r="D346" s="60" t="s">
        <v>227</v>
      </c>
      <c r="E346" s="60" t="s">
        <v>62</v>
      </c>
      <c r="F346" s="61" t="s">
        <v>63</v>
      </c>
    </row>
    <row r="347" spans="1:6" ht="13.5" thickBot="1" x14ac:dyDescent="0.25">
      <c r="A347" s="13" t="s">
        <v>34</v>
      </c>
      <c r="B347" s="14" t="s">
        <v>1</v>
      </c>
      <c r="C347" s="132">
        <f>'4.BDI'!C20*100</f>
        <v>26</v>
      </c>
      <c r="D347" s="15">
        <f>+F342</f>
        <v>158341.86563853524</v>
      </c>
      <c r="E347" s="15">
        <f>C347*D347/100</f>
        <v>41168.88506601916</v>
      </c>
    </row>
    <row r="348" spans="1:6" ht="13.5" thickBot="1" x14ac:dyDescent="0.25">
      <c r="F348" s="21">
        <f>+E347</f>
        <v>41168.88506601916</v>
      </c>
    </row>
    <row r="349" spans="1:6" ht="13.5" thickBot="1" x14ac:dyDescent="0.25"/>
    <row r="350" spans="1:6" ht="13.5" thickBot="1" x14ac:dyDescent="0.25">
      <c r="A350" s="24" t="s">
        <v>232</v>
      </c>
      <c r="B350" s="28"/>
      <c r="C350" s="28"/>
      <c r="D350" s="29"/>
      <c r="E350" s="30"/>
      <c r="F350" s="22">
        <f>F348</f>
        <v>41168.88506601916</v>
      </c>
    </row>
    <row r="351" spans="1:6" x14ac:dyDescent="0.2">
      <c r="A351" s="34"/>
      <c r="B351" s="34"/>
      <c r="C351" s="34"/>
      <c r="D351" s="35"/>
      <c r="E351" s="35"/>
      <c r="F351" s="33"/>
    </row>
    <row r="352" spans="1:6" ht="13.5" thickBot="1" x14ac:dyDescent="0.25"/>
    <row r="353" spans="1:7" ht="13.5" thickBot="1" x14ac:dyDescent="0.25">
      <c r="A353" s="24" t="s">
        <v>218</v>
      </c>
      <c r="B353" s="28"/>
      <c r="C353" s="28"/>
      <c r="D353" s="29"/>
      <c r="E353" s="30"/>
      <c r="F353" s="22">
        <f>F342+F350</f>
        <v>199510.7507045544</v>
      </c>
    </row>
    <row r="354" spans="1:7" ht="15.75" x14ac:dyDescent="0.2">
      <c r="A354" s="55"/>
      <c r="B354" s="55"/>
      <c r="C354" s="55"/>
      <c r="D354" s="56"/>
      <c r="E354" s="56"/>
      <c r="F354" s="56"/>
    </row>
    <row r="355" spans="1:7" ht="14.25" x14ac:dyDescent="0.2">
      <c r="A355" s="8"/>
      <c r="B355" s="8"/>
      <c r="C355" s="8"/>
      <c r="D355" s="36"/>
      <c r="E355" s="36"/>
    </row>
    <row r="356" spans="1:7" x14ac:dyDescent="0.2">
      <c r="A356" s="240" t="s">
        <v>211</v>
      </c>
      <c r="B356" s="241"/>
      <c r="C356" s="241"/>
      <c r="D356" s="242">
        <v>580</v>
      </c>
      <c r="E356" s="243" t="s">
        <v>25</v>
      </c>
    </row>
    <row r="357" spans="1:7" ht="13.5" thickBot="1" x14ac:dyDescent="0.25"/>
    <row r="358" spans="1:7" ht="13.5" thickBot="1" x14ac:dyDescent="0.25">
      <c r="A358" s="24" t="s">
        <v>66</v>
      </c>
      <c r="B358" s="25"/>
      <c r="C358" s="25"/>
      <c r="D358" s="26"/>
      <c r="E358" s="244" t="s">
        <v>32</v>
      </c>
      <c r="F358" s="245">
        <f>IFERROR(F353/D356,"-")</f>
        <v>343.98405293888692</v>
      </c>
    </row>
    <row r="367" spans="1:7" x14ac:dyDescent="0.2">
      <c r="G367" s="322"/>
    </row>
  </sheetData>
  <mergeCells count="10">
    <mergeCell ref="A2:F2"/>
    <mergeCell ref="A3:F3"/>
    <mergeCell ref="A38:D38"/>
    <mergeCell ref="A5:F5"/>
    <mergeCell ref="A37:E37"/>
    <mergeCell ref="A199:D199"/>
    <mergeCell ref="A182:D182"/>
    <mergeCell ref="A104:E104"/>
    <mergeCell ref="A44:D44"/>
    <mergeCell ref="A15:C15"/>
  </mergeCells>
  <phoneticPr fontId="9" type="noConversion"/>
  <hyperlinks>
    <hyperlink ref="A184" location="AbaRemun" display="3.1.2. Remuneração do Capital"/>
    <hyperlink ref="A167" location="AbaDeprec" display="3.1.1. Depreciação"/>
    <hyperlink ref="A261" location="AbaRemun" display="3.1.2. Remuneração do Capital"/>
    <hyperlink ref="A245" location="AbaDeprec" display="3.1.1. Depreciação"/>
  </hyperlinks>
  <pageMargins left="0.9055118110236221" right="0.51181102362204722" top="0.74803149606299213" bottom="0.74803149606299213" header="0.31496062992125984" footer="0.31496062992125984"/>
  <pageSetup paperSize="9" scale="76" fitToHeight="0" orientation="portrait" r:id="rId1"/>
  <headerFooter alignWithMargins="0">
    <oddFooter>&amp;R&amp;P de &amp;N</oddFooter>
  </headerFooter>
  <rowBreaks count="4" manualBreakCount="4">
    <brk id="49" max="5" man="1"/>
    <brk id="94" max="5" man="1"/>
    <brk id="162" max="5" man="1"/>
    <brk id="233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view="pageBreakPreview" zoomScale="60" zoomScaleNormal="10" workbookViewId="0">
      <selection activeCell="M47" sqref="A47:M358"/>
    </sheetView>
  </sheetViews>
  <sheetFormatPr defaultColWidth="9.140625" defaultRowHeight="12.75" x14ac:dyDescent="0.2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147" customWidth="1"/>
    <col min="5" max="10" width="9.140625" style="1"/>
    <col min="11" max="11" width="11" style="1" bestFit="1" customWidth="1"/>
    <col min="12" max="16384" width="9.140625" style="1"/>
  </cols>
  <sheetData>
    <row r="1" spans="1:12" x14ac:dyDescent="0.2">
      <c r="A1" s="11" t="s">
        <v>198</v>
      </c>
    </row>
    <row r="2" spans="1:12" x14ac:dyDescent="0.2">
      <c r="A2" s="131" t="s">
        <v>238</v>
      </c>
    </row>
    <row r="3" spans="1:12" s="4" customFormat="1" ht="15.6" customHeight="1" x14ac:dyDescent="0.2">
      <c r="B3" s="130"/>
      <c r="C3" s="130"/>
      <c r="D3" s="130"/>
      <c r="E3" s="130"/>
      <c r="F3" s="130"/>
      <c r="G3" s="6"/>
    </row>
    <row r="4" spans="1:12" s="4" customFormat="1" ht="15.6" customHeight="1" x14ac:dyDescent="0.2">
      <c r="A4" s="292"/>
      <c r="B4" s="130"/>
      <c r="C4" s="130"/>
      <c r="D4" s="130"/>
      <c r="E4" s="130"/>
      <c r="F4" s="130"/>
      <c r="G4" s="6"/>
    </row>
    <row r="5" spans="1:12" s="4" customFormat="1" ht="16.5" customHeight="1" x14ac:dyDescent="0.2">
      <c r="A5" s="292"/>
      <c r="B5" s="5"/>
      <c r="C5" s="5"/>
      <c r="D5" s="6"/>
      <c r="E5" s="6"/>
      <c r="F5" s="6"/>
      <c r="G5" s="6"/>
    </row>
    <row r="6" spans="1:12" ht="13.5" thickBot="1" x14ac:dyDescent="0.25"/>
    <row r="7" spans="1:12" ht="18" x14ac:dyDescent="0.2">
      <c r="A7" s="343" t="s">
        <v>221</v>
      </c>
      <c r="B7" s="344"/>
      <c r="C7" s="345"/>
      <c r="D7" s="139"/>
      <c r="E7" s="139"/>
      <c r="F7" s="139"/>
    </row>
    <row r="8" spans="1:12" ht="14.25" x14ac:dyDescent="0.2">
      <c r="A8" s="158" t="s">
        <v>136</v>
      </c>
      <c r="B8" s="159" t="s">
        <v>137</v>
      </c>
      <c r="C8" s="160" t="s">
        <v>138</v>
      </c>
      <c r="D8" s="161"/>
    </row>
    <row r="9" spans="1:12" ht="14.25" x14ac:dyDescent="0.2">
      <c r="A9" s="158" t="s">
        <v>139</v>
      </c>
      <c r="B9" s="159" t="s">
        <v>39</v>
      </c>
      <c r="C9" s="162">
        <v>0.2</v>
      </c>
      <c r="D9" s="161"/>
      <c r="F9" s="147"/>
      <c r="G9" s="147"/>
      <c r="H9" s="147"/>
      <c r="I9" s="147"/>
      <c r="J9" s="147"/>
      <c r="K9" s="147"/>
      <c r="L9" s="147"/>
    </row>
    <row r="10" spans="1:12" ht="14.25" x14ac:dyDescent="0.2">
      <c r="A10" s="158" t="s">
        <v>140</v>
      </c>
      <c r="B10" s="159" t="s">
        <v>141</v>
      </c>
      <c r="C10" s="162">
        <v>1.4999999999999999E-2</v>
      </c>
      <c r="D10" s="161"/>
      <c r="F10" s="147"/>
      <c r="G10" s="147"/>
      <c r="H10" s="147"/>
      <c r="I10" s="147"/>
      <c r="J10" s="147"/>
      <c r="K10" s="147"/>
      <c r="L10" s="147"/>
    </row>
    <row r="11" spans="1:12" ht="14.25" x14ac:dyDescent="0.2">
      <c r="A11" s="158" t="s">
        <v>142</v>
      </c>
      <c r="B11" s="159" t="s">
        <v>143</v>
      </c>
      <c r="C11" s="162">
        <v>0.01</v>
      </c>
      <c r="D11" s="161"/>
      <c r="F11" s="147"/>
      <c r="G11" s="147"/>
      <c r="H11" s="147"/>
      <c r="I11" s="147"/>
      <c r="J11" s="147"/>
      <c r="K11" s="147"/>
      <c r="L11" s="147"/>
    </row>
    <row r="12" spans="1:12" ht="14.25" x14ac:dyDescent="0.2">
      <c r="A12" s="158" t="s">
        <v>144</v>
      </c>
      <c r="B12" s="159" t="s">
        <v>145</v>
      </c>
      <c r="C12" s="162">
        <v>2E-3</v>
      </c>
      <c r="D12" s="161"/>
      <c r="F12" s="147"/>
      <c r="G12" s="147"/>
      <c r="H12" s="147"/>
      <c r="I12" s="147"/>
      <c r="J12" s="147"/>
      <c r="K12" s="147"/>
      <c r="L12" s="147"/>
    </row>
    <row r="13" spans="1:12" ht="14.25" x14ac:dyDescent="0.2">
      <c r="A13" s="158" t="s">
        <v>146</v>
      </c>
      <c r="B13" s="159" t="s">
        <v>147</v>
      </c>
      <c r="C13" s="162">
        <v>6.0000000000000001E-3</v>
      </c>
      <c r="D13" s="161"/>
      <c r="F13" s="147"/>
      <c r="G13" s="147"/>
      <c r="H13" s="147"/>
      <c r="I13" s="147"/>
      <c r="J13" s="147"/>
      <c r="K13" s="147"/>
      <c r="L13" s="147"/>
    </row>
    <row r="14" spans="1:12" ht="14.25" x14ac:dyDescent="0.2">
      <c r="A14" s="158" t="s">
        <v>148</v>
      </c>
      <c r="B14" s="159" t="s">
        <v>149</v>
      </c>
      <c r="C14" s="162">
        <v>2.5000000000000001E-2</v>
      </c>
      <c r="D14" s="161"/>
      <c r="F14" s="147"/>
      <c r="G14" s="147"/>
      <c r="H14" s="147"/>
      <c r="I14" s="147"/>
      <c r="J14" s="147"/>
      <c r="K14" s="147"/>
      <c r="L14" s="147"/>
    </row>
    <row r="15" spans="1:12" ht="14.25" x14ac:dyDescent="0.2">
      <c r="A15" s="158" t="s">
        <v>150</v>
      </c>
      <c r="B15" s="159" t="s">
        <v>151</v>
      </c>
      <c r="C15" s="162">
        <v>0.03</v>
      </c>
      <c r="D15" s="161"/>
      <c r="F15" s="147"/>
      <c r="G15" s="147"/>
      <c r="H15" s="147"/>
      <c r="I15" s="147"/>
      <c r="J15" s="147"/>
      <c r="K15" s="147"/>
      <c r="L15" s="147"/>
    </row>
    <row r="16" spans="1:12" ht="14.25" x14ac:dyDescent="0.2">
      <c r="A16" s="158" t="s">
        <v>152</v>
      </c>
      <c r="B16" s="159" t="s">
        <v>40</v>
      </c>
      <c r="C16" s="162">
        <v>0.08</v>
      </c>
      <c r="D16" s="163"/>
      <c r="F16" s="147"/>
      <c r="G16" s="147"/>
      <c r="H16" s="147"/>
      <c r="I16" s="147"/>
      <c r="J16" s="147"/>
      <c r="K16" s="147"/>
      <c r="L16" s="147"/>
    </row>
    <row r="17" spans="1:12" ht="15" x14ac:dyDescent="0.2">
      <c r="A17" s="158" t="s">
        <v>153</v>
      </c>
      <c r="B17" s="164" t="s">
        <v>154</v>
      </c>
      <c r="C17" s="165">
        <f>SUM(C9:C16)</f>
        <v>0.36800000000000005</v>
      </c>
      <c r="D17" s="163"/>
      <c r="F17" s="147"/>
      <c r="G17" s="147"/>
      <c r="H17" s="147"/>
      <c r="I17" s="147"/>
      <c r="J17" s="147"/>
      <c r="K17" s="147"/>
      <c r="L17" s="147"/>
    </row>
    <row r="18" spans="1:12" ht="15" x14ac:dyDescent="0.2">
      <c r="A18" s="166"/>
      <c r="B18" s="167"/>
      <c r="C18" s="168"/>
      <c r="D18" s="163"/>
      <c r="F18" s="147"/>
      <c r="G18" s="147"/>
      <c r="H18" s="147"/>
      <c r="I18" s="147"/>
      <c r="J18" s="147"/>
      <c r="K18" s="147"/>
      <c r="L18" s="147"/>
    </row>
    <row r="19" spans="1:12" ht="14.25" x14ac:dyDescent="0.2">
      <c r="A19" s="158" t="s">
        <v>155</v>
      </c>
      <c r="B19" s="169" t="s">
        <v>156</v>
      </c>
      <c r="C19" s="162">
        <f>ROUND(IF('3.CAGED'!C28&gt;24,(1-12/'3.CAGED'!C28)*0.1111,0.1111-C28),4)</f>
        <v>6.1899999999999997E-2</v>
      </c>
      <c r="D19" s="163"/>
      <c r="F19" s="147"/>
      <c r="G19" s="147"/>
      <c r="H19" s="147"/>
      <c r="I19" s="147"/>
      <c r="J19" s="147"/>
      <c r="K19" s="147"/>
      <c r="L19" s="147"/>
    </row>
    <row r="20" spans="1:12" ht="14.25" x14ac:dyDescent="0.2">
      <c r="A20" s="158" t="s">
        <v>157</v>
      </c>
      <c r="B20" s="169" t="s">
        <v>158</v>
      </c>
      <c r="C20" s="162">
        <f>ROUND('3.CAGED'!C32/'3.CAGED'!C29,4)</f>
        <v>8.3299999999999999E-2</v>
      </c>
      <c r="D20" s="163"/>
      <c r="F20" s="147"/>
      <c r="G20" s="147"/>
      <c r="H20" s="147"/>
      <c r="I20" s="147"/>
      <c r="J20" s="147"/>
      <c r="K20" s="147"/>
      <c r="L20" s="147"/>
    </row>
    <row r="21" spans="1:12" ht="14.25" x14ac:dyDescent="0.2">
      <c r="A21" s="158" t="s">
        <v>209</v>
      </c>
      <c r="B21" s="169" t="s">
        <v>160</v>
      </c>
      <c r="C21" s="162">
        <v>5.9999999999999995E-4</v>
      </c>
      <c r="D21" s="163"/>
      <c r="F21" s="147"/>
      <c r="G21" s="147"/>
      <c r="H21" s="147"/>
      <c r="I21" s="147"/>
      <c r="J21" s="147"/>
      <c r="K21" s="147"/>
      <c r="L21" s="147"/>
    </row>
    <row r="22" spans="1:12" ht="14.25" x14ac:dyDescent="0.2">
      <c r="A22" s="158" t="s">
        <v>159</v>
      </c>
      <c r="B22" s="169" t="s">
        <v>162</v>
      </c>
      <c r="C22" s="162">
        <v>8.2000000000000007E-3</v>
      </c>
      <c r="D22" s="163"/>
      <c r="F22" s="147"/>
      <c r="G22" s="147"/>
      <c r="H22" s="147"/>
      <c r="I22" s="147"/>
      <c r="J22" s="147"/>
      <c r="K22" s="147"/>
      <c r="L22" s="147"/>
    </row>
    <row r="23" spans="1:12" ht="14.25" x14ac:dyDescent="0.2">
      <c r="A23" s="158" t="s">
        <v>161</v>
      </c>
      <c r="B23" s="169" t="s">
        <v>164</v>
      </c>
      <c r="C23" s="162">
        <v>3.0999999999999999E-3</v>
      </c>
      <c r="D23" s="163"/>
      <c r="F23" s="147"/>
      <c r="G23" s="147"/>
      <c r="H23" s="147"/>
      <c r="I23" s="147"/>
      <c r="J23" s="147"/>
      <c r="K23" s="147"/>
      <c r="L23" s="147"/>
    </row>
    <row r="24" spans="1:12" ht="14.25" x14ac:dyDescent="0.2">
      <c r="A24" s="158" t="s">
        <v>163</v>
      </c>
      <c r="B24" s="169" t="s">
        <v>165</v>
      </c>
      <c r="C24" s="162">
        <v>1.66E-2</v>
      </c>
      <c r="D24" s="163"/>
      <c r="F24" s="147"/>
      <c r="G24" s="147"/>
      <c r="H24" s="147"/>
      <c r="I24" s="147"/>
      <c r="J24" s="147"/>
      <c r="K24" s="147"/>
      <c r="L24" s="147"/>
    </row>
    <row r="25" spans="1:12" ht="15" x14ac:dyDescent="0.2">
      <c r="A25" s="158" t="s">
        <v>166</v>
      </c>
      <c r="B25" s="164" t="s">
        <v>167</v>
      </c>
      <c r="C25" s="165">
        <f>SUM(C19:C24)</f>
        <v>0.17369999999999999</v>
      </c>
      <c r="D25" s="170"/>
      <c r="F25" s="147"/>
      <c r="G25" s="147"/>
      <c r="H25" s="147"/>
      <c r="I25" s="147"/>
      <c r="J25" s="147"/>
      <c r="K25" s="147"/>
      <c r="L25" s="147"/>
    </row>
    <row r="26" spans="1:12" ht="15" x14ac:dyDescent="0.2">
      <c r="A26" s="166"/>
      <c r="B26" s="167"/>
      <c r="C26" s="168"/>
      <c r="D26" s="170"/>
      <c r="F26" s="147"/>
      <c r="G26" s="147"/>
      <c r="H26" s="147"/>
      <c r="I26" s="147"/>
      <c r="J26" s="147"/>
      <c r="K26" s="147"/>
      <c r="L26" s="147"/>
    </row>
    <row r="27" spans="1:12" ht="14.25" x14ac:dyDescent="0.2">
      <c r="A27" s="158" t="s">
        <v>168</v>
      </c>
      <c r="B27" s="159" t="s">
        <v>169</v>
      </c>
      <c r="C27" s="162">
        <f>ROUND(('3.CAGED'!C33) *'3.CAGED'!C26/'3.CAGED'!C29,4)</f>
        <v>2.5600000000000001E-2</v>
      </c>
      <c r="D27" s="163"/>
      <c r="E27" s="171"/>
      <c r="F27" s="147"/>
      <c r="G27" s="147"/>
      <c r="H27" s="147"/>
      <c r="I27" s="147"/>
      <c r="J27" s="147"/>
      <c r="K27" s="147"/>
      <c r="L27" s="147"/>
    </row>
    <row r="28" spans="1:12" ht="14.25" x14ac:dyDescent="0.2">
      <c r="A28" s="158" t="s">
        <v>208</v>
      </c>
      <c r="B28" s="159" t="s">
        <v>171</v>
      </c>
      <c r="C28" s="162">
        <f>ROUND(IF('3.CAGED'!C28&gt;12,12/'3.CAGED'!C28*0.1111,0.1111),4)</f>
        <v>4.9200000000000001E-2</v>
      </c>
      <c r="D28" s="163"/>
      <c r="F28" s="147"/>
      <c r="G28" s="147"/>
      <c r="H28" s="172"/>
      <c r="I28" s="147"/>
      <c r="J28" s="147"/>
      <c r="K28" s="147"/>
      <c r="L28" s="147"/>
    </row>
    <row r="29" spans="1:12" ht="14.25" x14ac:dyDescent="0.2">
      <c r="A29" s="158" t="s">
        <v>170</v>
      </c>
      <c r="B29" s="159" t="s">
        <v>173</v>
      </c>
      <c r="C29" s="162">
        <f>C27*C28</f>
        <v>1.2595200000000001E-3</v>
      </c>
      <c r="D29" s="163"/>
      <c r="E29" s="171"/>
      <c r="F29" s="147"/>
      <c r="G29" s="147"/>
      <c r="H29" s="147"/>
      <c r="I29" s="147"/>
      <c r="J29" s="147"/>
      <c r="K29" s="147"/>
      <c r="L29" s="147"/>
    </row>
    <row r="30" spans="1:12" ht="14.25" x14ac:dyDescent="0.2">
      <c r="A30" s="158" t="s">
        <v>172</v>
      </c>
      <c r="B30" s="159" t="s">
        <v>175</v>
      </c>
      <c r="C30" s="162">
        <f>ROUND(('3.CAGED'!C29+'3.CAGED'!C30+'3.CAGED'!C32)/'3.CAGED'!C27*'3.CAGED'!C34*'3.CAGED'!C35*'3.CAGED'!C26/'3.CAGED'!C29,4)</f>
        <v>2.0500000000000001E-2</v>
      </c>
      <c r="D30" s="163"/>
      <c r="F30" s="147"/>
      <c r="G30" s="173"/>
      <c r="H30" s="147"/>
      <c r="I30" s="147"/>
      <c r="J30" s="147"/>
      <c r="K30" s="147"/>
      <c r="L30" s="147"/>
    </row>
    <row r="31" spans="1:12" ht="14.25" x14ac:dyDescent="0.2">
      <c r="A31" s="158" t="s">
        <v>174</v>
      </c>
      <c r="B31" s="159" t="s">
        <v>176</v>
      </c>
      <c r="C31" s="162">
        <f>ROUND(('3.CAGED'!C31/'3.CAGED'!C29)*'3.CAGED'!C26/12,4)</f>
        <v>1.8E-3</v>
      </c>
      <c r="D31" s="163"/>
      <c r="F31" s="147"/>
      <c r="G31" s="147"/>
      <c r="H31" s="147"/>
      <c r="I31" s="147"/>
      <c r="J31" s="147"/>
      <c r="K31" s="147"/>
      <c r="L31" s="147"/>
    </row>
    <row r="32" spans="1:12" ht="15" x14ac:dyDescent="0.2">
      <c r="A32" s="158" t="s">
        <v>177</v>
      </c>
      <c r="B32" s="164" t="s">
        <v>178</v>
      </c>
      <c r="C32" s="165">
        <f>SUM(C27:C31)</f>
        <v>9.8359520000000006E-2</v>
      </c>
      <c r="D32" s="170"/>
      <c r="F32" s="147"/>
      <c r="G32" s="147"/>
      <c r="H32" s="147"/>
      <c r="I32" s="147"/>
      <c r="J32" s="147"/>
      <c r="K32" s="147"/>
      <c r="L32" s="147"/>
    </row>
    <row r="33" spans="1:12" ht="15" x14ac:dyDescent="0.2">
      <c r="A33" s="166"/>
      <c r="B33" s="167"/>
      <c r="C33" s="168"/>
      <c r="D33" s="170"/>
      <c r="F33" s="147"/>
      <c r="G33" s="147"/>
      <c r="H33" s="147"/>
      <c r="I33" s="147"/>
      <c r="J33" s="147"/>
      <c r="K33" s="147"/>
      <c r="L33" s="147"/>
    </row>
    <row r="34" spans="1:12" ht="14.25" x14ac:dyDescent="0.2">
      <c r="A34" s="158" t="s">
        <v>179</v>
      </c>
      <c r="B34" s="159" t="s">
        <v>180</v>
      </c>
      <c r="C34" s="162">
        <f>ROUND(C17*C25,4)</f>
        <v>6.3899999999999998E-2</v>
      </c>
      <c r="D34" s="163"/>
      <c r="F34" s="147"/>
      <c r="G34" s="147"/>
      <c r="H34" s="147"/>
      <c r="I34" s="147"/>
      <c r="J34" s="147"/>
      <c r="K34" s="147"/>
      <c r="L34" s="147"/>
    </row>
    <row r="35" spans="1:12" ht="28.5" x14ac:dyDescent="0.2">
      <c r="A35" s="158" t="s">
        <v>181</v>
      </c>
      <c r="B35" s="174" t="s">
        <v>271</v>
      </c>
      <c r="C35" s="162">
        <f>ROUND((C27*C16),4)</f>
        <v>2E-3</v>
      </c>
      <c r="D35" s="163"/>
      <c r="F35" s="147"/>
      <c r="G35" s="147"/>
      <c r="H35" s="147"/>
      <c r="I35" s="147"/>
      <c r="J35" s="147"/>
      <c r="K35" s="147"/>
      <c r="L35" s="147"/>
    </row>
    <row r="36" spans="1:12" ht="15" x14ac:dyDescent="0.2">
      <c r="A36" s="158" t="s">
        <v>182</v>
      </c>
      <c r="B36" s="164" t="s">
        <v>183</v>
      </c>
      <c r="C36" s="165">
        <f>SUM(C34:C35)</f>
        <v>6.59E-2</v>
      </c>
      <c r="D36" s="175"/>
      <c r="F36" s="147"/>
      <c r="G36" s="147"/>
      <c r="H36" s="147"/>
      <c r="I36" s="147"/>
      <c r="J36" s="147"/>
      <c r="K36" s="147"/>
      <c r="L36" s="147"/>
    </row>
    <row r="37" spans="1:12" ht="15.75" thickBot="1" x14ac:dyDescent="0.25">
      <c r="A37" s="176"/>
      <c r="B37" s="177" t="s">
        <v>184</v>
      </c>
      <c r="C37" s="178">
        <f>C36+C32+C25+C17</f>
        <v>0.70595951999999995</v>
      </c>
      <c r="D37" s="175"/>
      <c r="F37" s="147"/>
      <c r="G37" s="147"/>
      <c r="H37" s="147"/>
      <c r="I37" s="147"/>
      <c r="J37" s="147"/>
      <c r="K37" s="147"/>
      <c r="L37" s="147"/>
    </row>
    <row r="38" spans="1:12" ht="15" x14ac:dyDescent="0.2">
      <c r="A38" s="163"/>
      <c r="B38" s="179"/>
      <c r="C38" s="180"/>
      <c r="D38" s="181"/>
      <c r="F38" s="147"/>
      <c r="G38" s="147"/>
      <c r="H38" s="147"/>
      <c r="I38" s="147"/>
      <c r="J38" s="147"/>
      <c r="K38" s="147"/>
      <c r="L38" s="147"/>
    </row>
    <row r="39" spans="1:12" ht="14.25" x14ac:dyDescent="0.2">
      <c r="A39" s="163"/>
      <c r="B39" s="163"/>
      <c r="C39" s="182"/>
      <c r="D39" s="183"/>
      <c r="F39" s="147"/>
      <c r="G39" s="147"/>
      <c r="H39" s="147"/>
      <c r="I39" s="147"/>
      <c r="J39" s="147"/>
      <c r="K39" s="147"/>
      <c r="L39" s="147"/>
    </row>
    <row r="40" spans="1:12" ht="14.25" x14ac:dyDescent="0.2">
      <c r="A40" s="161"/>
      <c r="B40" s="161"/>
      <c r="C40" s="184"/>
      <c r="D40" s="161"/>
      <c r="F40" s="147"/>
      <c r="G40" s="147"/>
      <c r="H40" s="147"/>
      <c r="I40" s="147"/>
      <c r="J40" s="147"/>
      <c r="K40" s="147"/>
      <c r="L40" s="147"/>
    </row>
    <row r="41" spans="1:12" ht="14.25" x14ac:dyDescent="0.2">
      <c r="A41" s="161"/>
      <c r="B41" s="161"/>
      <c r="C41" s="184"/>
      <c r="D41" s="161"/>
      <c r="F41" s="147"/>
      <c r="G41" s="147"/>
      <c r="H41" s="147"/>
      <c r="I41" s="147"/>
      <c r="J41" s="147"/>
      <c r="K41" s="147"/>
      <c r="L41" s="147"/>
    </row>
    <row r="42" spans="1:12" ht="14.25" x14ac:dyDescent="0.2">
      <c r="A42" s="161"/>
      <c r="B42" s="161"/>
      <c r="C42" s="184"/>
      <c r="D42" s="161"/>
      <c r="F42" s="147"/>
      <c r="G42" s="147"/>
      <c r="H42" s="147"/>
      <c r="I42" s="147"/>
      <c r="J42" s="147"/>
      <c r="K42" s="147"/>
      <c r="L42" s="147"/>
    </row>
    <row r="43" spans="1:12" ht="15" x14ac:dyDescent="0.2">
      <c r="A43" s="161"/>
      <c r="B43" s="185"/>
      <c r="C43" s="186"/>
      <c r="D43" s="161"/>
      <c r="F43" s="147"/>
      <c r="G43" s="147"/>
      <c r="H43" s="147"/>
      <c r="I43" s="147"/>
      <c r="J43" s="147"/>
      <c r="K43" s="147"/>
      <c r="L43" s="147"/>
    </row>
    <row r="44" spans="1:12" ht="15" x14ac:dyDescent="0.2">
      <c r="A44" s="175"/>
      <c r="B44" s="185"/>
      <c r="C44" s="186"/>
      <c r="D44" s="175"/>
      <c r="E44" s="147"/>
      <c r="F44" s="147"/>
      <c r="G44" s="147"/>
      <c r="H44" s="147"/>
      <c r="I44" s="147"/>
      <c r="J44" s="147"/>
      <c r="K44" s="147"/>
      <c r="L44" s="147"/>
    </row>
    <row r="45" spans="1:12" ht="16.5" x14ac:dyDescent="0.2">
      <c r="A45" s="187"/>
      <c r="B45" s="147"/>
      <c r="C45" s="147"/>
      <c r="E45" s="147"/>
      <c r="F45" s="147"/>
      <c r="G45" s="147"/>
      <c r="H45" s="147"/>
      <c r="I45" s="147"/>
      <c r="J45" s="147"/>
      <c r="K45" s="147"/>
      <c r="L45" s="147"/>
    </row>
    <row r="46" spans="1:12" x14ac:dyDescent="0.2">
      <c r="A46" s="188"/>
      <c r="B46" s="189"/>
      <c r="C46" s="189"/>
      <c r="E46" s="147"/>
      <c r="F46" s="147"/>
      <c r="G46" s="147"/>
      <c r="H46" s="147"/>
      <c r="I46" s="147"/>
      <c r="J46" s="147"/>
      <c r="K46" s="147"/>
      <c r="L46" s="147"/>
    </row>
    <row r="47" spans="1:12" ht="14.25" x14ac:dyDescent="0.2">
      <c r="A47" s="161"/>
      <c r="B47" s="190"/>
      <c r="C47" s="189"/>
      <c r="E47" s="147"/>
      <c r="F47" s="147"/>
      <c r="G47" s="147"/>
      <c r="H47" s="147"/>
      <c r="I47" s="147"/>
      <c r="J47" s="147"/>
      <c r="K47" s="147"/>
      <c r="L47" s="147"/>
    </row>
    <row r="48" spans="1:12" ht="14.25" x14ac:dyDescent="0.2">
      <c r="A48" s="161"/>
      <c r="B48" s="190"/>
      <c r="C48" s="161"/>
      <c r="E48" s="147"/>
      <c r="F48" s="147"/>
      <c r="G48" s="147"/>
      <c r="H48" s="147"/>
      <c r="I48" s="147"/>
      <c r="J48" s="147"/>
      <c r="K48" s="147"/>
      <c r="L48" s="147"/>
    </row>
    <row r="49" spans="1:12" ht="14.25" x14ac:dyDescent="0.2">
      <c r="A49" s="161"/>
      <c r="B49" s="184"/>
      <c r="C49" s="189"/>
      <c r="E49" s="147"/>
      <c r="F49" s="147"/>
      <c r="G49" s="147"/>
      <c r="H49" s="147"/>
      <c r="I49" s="147"/>
      <c r="J49" s="147"/>
      <c r="K49" s="147"/>
      <c r="L49" s="147"/>
    </row>
    <row r="50" spans="1:12" ht="14.25" x14ac:dyDescent="0.2">
      <c r="A50" s="161"/>
      <c r="B50" s="190"/>
      <c r="C50" s="161"/>
      <c r="E50" s="147"/>
      <c r="F50" s="147"/>
      <c r="G50" s="147"/>
      <c r="H50" s="147"/>
      <c r="I50" s="147"/>
      <c r="J50" s="147"/>
      <c r="K50" s="147"/>
      <c r="L50" s="147"/>
    </row>
    <row r="51" spans="1:12" ht="14.25" x14ac:dyDescent="0.2">
      <c r="A51" s="161"/>
      <c r="B51" s="184"/>
      <c r="C51" s="189"/>
      <c r="E51" s="147"/>
      <c r="F51" s="147"/>
      <c r="G51" s="147"/>
      <c r="H51" s="147"/>
      <c r="I51" s="147"/>
      <c r="J51" s="147"/>
      <c r="K51" s="147"/>
      <c r="L51" s="147"/>
    </row>
    <row r="52" spans="1:12" ht="14.25" x14ac:dyDescent="0.2">
      <c r="A52" s="161"/>
      <c r="B52" s="190"/>
      <c r="C52" s="161"/>
      <c r="E52" s="147"/>
      <c r="F52" s="147"/>
      <c r="G52" s="147"/>
      <c r="H52" s="147"/>
      <c r="I52" s="147"/>
      <c r="J52" s="147"/>
      <c r="K52" s="147"/>
      <c r="L52" s="147"/>
    </row>
    <row r="53" spans="1:12" ht="14.25" x14ac:dyDescent="0.2">
      <c r="A53" s="161"/>
      <c r="B53" s="184"/>
      <c r="C53" s="189"/>
      <c r="E53" s="147"/>
      <c r="F53" s="147"/>
      <c r="G53" s="147"/>
      <c r="H53" s="147"/>
      <c r="I53" s="147"/>
      <c r="J53" s="147"/>
      <c r="K53" s="147"/>
      <c r="L53" s="147"/>
    </row>
    <row r="54" spans="1:12" ht="14.25" x14ac:dyDescent="0.2">
      <c r="A54" s="161"/>
      <c r="B54" s="190"/>
      <c r="C54" s="161"/>
      <c r="E54" s="147"/>
      <c r="F54" s="147"/>
      <c r="G54" s="147"/>
      <c r="H54" s="147"/>
      <c r="I54" s="147"/>
      <c r="J54" s="147"/>
      <c r="K54" s="147"/>
      <c r="L54" s="147"/>
    </row>
    <row r="55" spans="1:12" ht="14.25" x14ac:dyDescent="0.2">
      <c r="A55" s="161"/>
      <c r="B55" s="184"/>
      <c r="C55" s="189"/>
      <c r="E55" s="147"/>
      <c r="F55" s="147"/>
      <c r="G55" s="147"/>
      <c r="H55" s="147"/>
      <c r="I55" s="147"/>
      <c r="J55" s="147"/>
      <c r="K55" s="147"/>
      <c r="L55" s="147"/>
    </row>
    <row r="56" spans="1:12" ht="16.5" x14ac:dyDescent="0.2">
      <c r="A56" s="187"/>
      <c r="B56" s="147"/>
      <c r="C56" s="147"/>
      <c r="E56" s="147"/>
      <c r="F56" s="147"/>
      <c r="G56" s="147"/>
      <c r="H56" s="147"/>
      <c r="I56" s="147"/>
      <c r="J56" s="147"/>
      <c r="K56" s="147"/>
      <c r="L56" s="147"/>
    </row>
    <row r="57" spans="1:12" x14ac:dyDescent="0.2">
      <c r="A57" s="147"/>
      <c r="B57" s="147"/>
      <c r="C57" s="147"/>
      <c r="E57" s="147"/>
      <c r="F57" s="147"/>
      <c r="G57" s="147"/>
      <c r="H57" s="147"/>
      <c r="I57" s="147"/>
      <c r="J57" s="147"/>
      <c r="K57" s="147"/>
      <c r="L57" s="147"/>
    </row>
    <row r="58" spans="1:12" x14ac:dyDescent="0.2">
      <c r="A58" s="147"/>
      <c r="B58" s="147"/>
      <c r="C58" s="147"/>
      <c r="E58" s="147"/>
      <c r="F58" s="147"/>
      <c r="G58" s="147"/>
      <c r="H58" s="147"/>
      <c r="I58" s="147"/>
      <c r="J58" s="147"/>
      <c r="K58" s="147"/>
      <c r="L58" s="147"/>
    </row>
    <row r="59" spans="1:12" x14ac:dyDescent="0.2">
      <c r="A59" s="191"/>
      <c r="B59" s="147"/>
      <c r="C59" s="147"/>
      <c r="E59" s="147"/>
      <c r="F59" s="147"/>
      <c r="G59" s="147"/>
      <c r="H59" s="147"/>
      <c r="I59" s="147"/>
      <c r="J59" s="147"/>
      <c r="K59" s="147"/>
      <c r="L59" s="147"/>
    </row>
    <row r="60" spans="1:12" x14ac:dyDescent="0.2">
      <c r="A60" s="147"/>
      <c r="B60" s="147"/>
      <c r="C60" s="147"/>
      <c r="E60" s="147"/>
    </row>
    <row r="61" spans="1:12" x14ac:dyDescent="0.2">
      <c r="A61" s="147"/>
      <c r="B61" s="147"/>
      <c r="C61" s="147"/>
      <c r="E61" s="147"/>
    </row>
    <row r="62" spans="1:12" x14ac:dyDescent="0.2">
      <c r="A62" s="147"/>
      <c r="B62" s="147"/>
      <c r="C62" s="147"/>
      <c r="E62" s="147"/>
    </row>
    <row r="63" spans="1:12" x14ac:dyDescent="0.2">
      <c r="A63" s="147"/>
      <c r="B63" s="147"/>
      <c r="C63" s="147"/>
      <c r="E63" s="147"/>
    </row>
    <row r="64" spans="1:12" x14ac:dyDescent="0.2">
      <c r="A64" s="147"/>
      <c r="B64" s="147"/>
      <c r="C64" s="147"/>
      <c r="E64" s="147"/>
    </row>
    <row r="65" spans="1:5" x14ac:dyDescent="0.2">
      <c r="A65" s="147"/>
      <c r="B65" s="147"/>
      <c r="C65" s="147"/>
      <c r="E65" s="147"/>
    </row>
    <row r="66" spans="1:5" x14ac:dyDescent="0.2">
      <c r="A66" s="147"/>
      <c r="B66" s="147"/>
      <c r="C66" s="147"/>
      <c r="E66" s="147"/>
    </row>
    <row r="67" spans="1:5" x14ac:dyDescent="0.2">
      <c r="A67" s="147"/>
      <c r="B67" s="147"/>
      <c r="C67" s="147"/>
      <c r="E67" s="147"/>
    </row>
    <row r="68" spans="1:5" x14ac:dyDescent="0.2">
      <c r="A68" s="147"/>
      <c r="B68" s="147"/>
      <c r="C68" s="147"/>
      <c r="E68" s="147"/>
    </row>
  </sheetData>
  <mergeCells count="1">
    <mergeCell ref="A7:C7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60" zoomScaleNormal="40" workbookViewId="0">
      <selection activeCell="B43" sqref="B43"/>
    </sheetView>
  </sheetViews>
  <sheetFormatPr defaultColWidth="9.140625" defaultRowHeight="12.75" x14ac:dyDescent="0.2"/>
  <cols>
    <col min="1" max="1" width="8.5703125" style="1" customWidth="1"/>
    <col min="2" max="2" width="67.140625" style="1" customWidth="1"/>
    <col min="3" max="3" width="13.710937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5" ht="42" customHeight="1" x14ac:dyDescent="0.2">
      <c r="A1" s="348" t="s">
        <v>233</v>
      </c>
      <c r="B1" s="348"/>
      <c r="C1" s="348"/>
    </row>
    <row r="3" spans="1:5" x14ac:dyDescent="0.2">
      <c r="A3" s="294"/>
    </row>
    <row r="5" spans="1:5" x14ac:dyDescent="0.2">
      <c r="A5" s="294"/>
    </row>
    <row r="6" spans="1:5" ht="13.5" thickBot="1" x14ac:dyDescent="0.25">
      <c r="E6" s="318"/>
    </row>
    <row r="7" spans="1:5" ht="18" x14ac:dyDescent="0.25">
      <c r="B7" s="346" t="s">
        <v>219</v>
      </c>
      <c r="C7" s="347"/>
    </row>
    <row r="8" spans="1:5" ht="15" x14ac:dyDescent="0.25">
      <c r="A8" s="147"/>
      <c r="B8" s="146" t="s">
        <v>199</v>
      </c>
      <c r="C8" s="192"/>
    </row>
    <row r="9" spans="1:5" ht="15" x14ac:dyDescent="0.25">
      <c r="A9" s="147"/>
      <c r="B9" s="148" t="s">
        <v>120</v>
      </c>
      <c r="C9" s="149">
        <v>2100</v>
      </c>
    </row>
    <row r="10" spans="1:5" ht="15" x14ac:dyDescent="0.25">
      <c r="A10" s="147"/>
      <c r="B10" s="150" t="s">
        <v>121</v>
      </c>
      <c r="C10" s="149">
        <v>2031</v>
      </c>
    </row>
    <row r="11" spans="1:5" ht="14.25" x14ac:dyDescent="0.2">
      <c r="A11" s="147"/>
      <c r="B11" s="193" t="s">
        <v>122</v>
      </c>
      <c r="C11" s="194">
        <v>44</v>
      </c>
    </row>
    <row r="12" spans="1:5" ht="14.25" x14ac:dyDescent="0.2">
      <c r="A12" s="147"/>
      <c r="B12" s="193" t="s">
        <v>123</v>
      </c>
      <c r="C12" s="194">
        <v>1192</v>
      </c>
    </row>
    <row r="13" spans="1:5" ht="14.25" x14ac:dyDescent="0.2">
      <c r="A13" s="147"/>
      <c r="B13" s="193" t="s">
        <v>124</v>
      </c>
      <c r="C13" s="194">
        <v>372</v>
      </c>
    </row>
    <row r="14" spans="1:5" ht="14.25" x14ac:dyDescent="0.2">
      <c r="A14" s="147"/>
      <c r="B14" s="193" t="s">
        <v>125</v>
      </c>
      <c r="C14" s="194">
        <v>22</v>
      </c>
    </row>
    <row r="15" spans="1:5" ht="14.25" x14ac:dyDescent="0.2">
      <c r="A15" s="147"/>
      <c r="B15" s="193" t="s">
        <v>126</v>
      </c>
      <c r="C15" s="194">
        <v>350</v>
      </c>
    </row>
    <row r="16" spans="1:5" ht="14.25" x14ac:dyDescent="0.2">
      <c r="A16" s="147"/>
      <c r="B16" s="193" t="s">
        <v>127</v>
      </c>
      <c r="C16" s="194">
        <v>1</v>
      </c>
    </row>
    <row r="17" spans="1:5" ht="14.25" x14ac:dyDescent="0.2">
      <c r="A17" s="147"/>
      <c r="B17" s="193" t="s">
        <v>128</v>
      </c>
      <c r="C17" s="194">
        <v>30</v>
      </c>
    </row>
    <row r="18" spans="1:5" ht="14.25" x14ac:dyDescent="0.2">
      <c r="A18" s="147"/>
      <c r="B18" s="195" t="s">
        <v>129</v>
      </c>
      <c r="C18" s="196">
        <v>0</v>
      </c>
    </row>
    <row r="19" spans="1:5" ht="14.25" x14ac:dyDescent="0.2">
      <c r="A19" s="147"/>
      <c r="B19" s="300" t="s">
        <v>276</v>
      </c>
      <c r="C19" s="196">
        <v>0</v>
      </c>
    </row>
    <row r="20" spans="1:5" ht="15" x14ac:dyDescent="0.25">
      <c r="A20" s="147" t="s">
        <v>130</v>
      </c>
      <c r="B20" s="146" t="s">
        <v>131</v>
      </c>
      <c r="C20" s="192"/>
    </row>
    <row r="21" spans="1:5" ht="14.25" x14ac:dyDescent="0.2">
      <c r="A21" s="147"/>
      <c r="B21" s="197" t="s">
        <v>278</v>
      </c>
      <c r="C21" s="198">
        <v>4625</v>
      </c>
    </row>
    <row r="22" spans="1:5" ht="14.25" x14ac:dyDescent="0.2">
      <c r="A22" s="147"/>
      <c r="B22" s="193" t="s">
        <v>279</v>
      </c>
      <c r="C22" s="194">
        <v>4694</v>
      </c>
    </row>
    <row r="23" spans="1:5" ht="14.25" x14ac:dyDescent="0.2">
      <c r="B23" s="193" t="s">
        <v>277</v>
      </c>
      <c r="C23" s="293">
        <f>C9-C10</f>
        <v>69</v>
      </c>
    </row>
    <row r="24" spans="1:5" ht="14.25" x14ac:dyDescent="0.2">
      <c r="B24" s="199"/>
      <c r="C24" s="200"/>
    </row>
    <row r="25" spans="1:5" s="104" customFormat="1" ht="15" x14ac:dyDescent="0.25">
      <c r="B25" s="148" t="s">
        <v>133</v>
      </c>
      <c r="C25" s="201">
        <f>MEDIAN(C21,C22)</f>
        <v>4659.5</v>
      </c>
    </row>
    <row r="26" spans="1:5" ht="15" x14ac:dyDescent="0.25">
      <c r="B26" s="150" t="s">
        <v>274</v>
      </c>
      <c r="C26" s="298">
        <f>C12/C25</f>
        <v>0.25582144006867691</v>
      </c>
    </row>
    <row r="27" spans="1:5" ht="15" x14ac:dyDescent="0.25">
      <c r="B27" s="150" t="s">
        <v>275</v>
      </c>
      <c r="C27" s="298">
        <f>MEDIAN(C9,C10)/C25</f>
        <v>0.44328790642772831</v>
      </c>
      <c r="E27" s="267"/>
    </row>
    <row r="28" spans="1:5" s="104" customFormat="1" ht="15" x14ac:dyDescent="0.25">
      <c r="B28" s="150" t="s">
        <v>239</v>
      </c>
      <c r="C28" s="296">
        <f>12/C27</f>
        <v>27.070442992011618</v>
      </c>
    </row>
    <row r="29" spans="1:5" ht="15" x14ac:dyDescent="0.25">
      <c r="B29" s="150" t="s">
        <v>132</v>
      </c>
      <c r="C29" s="152">
        <v>360</v>
      </c>
    </row>
    <row r="30" spans="1:5" ht="15" x14ac:dyDescent="0.25">
      <c r="B30" s="150" t="s">
        <v>234</v>
      </c>
      <c r="C30" s="152">
        <v>10</v>
      </c>
    </row>
    <row r="31" spans="1:5" ht="15" x14ac:dyDescent="0.25">
      <c r="B31" s="148" t="s">
        <v>235</v>
      </c>
      <c r="C31" s="151">
        <v>30</v>
      </c>
    </row>
    <row r="32" spans="1:5" ht="15" x14ac:dyDescent="0.25">
      <c r="B32" s="148" t="s">
        <v>236</v>
      </c>
      <c r="C32" s="151">
        <v>30</v>
      </c>
    </row>
    <row r="33" spans="2:3" s="104" customFormat="1" ht="15" x14ac:dyDescent="0.25">
      <c r="B33" s="148" t="s">
        <v>135</v>
      </c>
      <c r="C33" s="151">
        <f>30+(3*TRUNC(1/C27))</f>
        <v>36</v>
      </c>
    </row>
    <row r="34" spans="2:3" s="104" customFormat="1" ht="15" x14ac:dyDescent="0.25">
      <c r="B34" s="150" t="s">
        <v>40</v>
      </c>
      <c r="C34" s="297">
        <v>0.08</v>
      </c>
    </row>
    <row r="35" spans="2:3" s="104" customFormat="1" ht="15.75" thickBot="1" x14ac:dyDescent="0.3">
      <c r="B35" s="153" t="s">
        <v>134</v>
      </c>
      <c r="C35" s="299">
        <v>0.4</v>
      </c>
    </row>
  </sheetData>
  <mergeCells count="2">
    <mergeCell ref="B7:C7"/>
    <mergeCell ref="A1:C1"/>
  </mergeCells>
  <pageMargins left="0.90551181102362199" right="0.5118110236220472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8"/>
  <sheetViews>
    <sheetView view="pageBreakPreview" zoomScale="85" zoomScaleNormal="10" zoomScaleSheetLayoutView="85" workbookViewId="0">
      <selection activeCell="J48" sqref="J48"/>
    </sheetView>
  </sheetViews>
  <sheetFormatPr defaultRowHeight="12.75" x14ac:dyDescent="0.2"/>
  <cols>
    <col min="1" max="1" width="41.85546875" bestFit="1" customWidth="1"/>
    <col min="2" max="2" width="5.5703125" bestFit="1" customWidth="1"/>
    <col min="4" max="4" width="9.7109375" bestFit="1" customWidth="1"/>
    <col min="5" max="5" width="8" style="118" bestFit="1" customWidth="1"/>
    <col min="6" max="6" width="9.7109375" bestFit="1" customWidth="1"/>
  </cols>
  <sheetData>
    <row r="1" spans="1:8" s="136" customFormat="1" ht="14.25" x14ac:dyDescent="0.2">
      <c r="A1" s="11"/>
      <c r="B1" s="134"/>
      <c r="C1" s="134"/>
      <c r="E1" s="137"/>
    </row>
    <row r="2" spans="1:8" s="136" customFormat="1" ht="14.25" x14ac:dyDescent="0.2">
      <c r="A2" s="131"/>
      <c r="B2" s="134"/>
      <c r="C2" s="134"/>
      <c r="E2" s="137"/>
    </row>
    <row r="3" spans="1:8" s="136" customFormat="1" ht="14.25" x14ac:dyDescent="0.2">
      <c r="A3" s="9"/>
      <c r="B3" s="134"/>
      <c r="C3" s="134"/>
      <c r="E3" s="137"/>
    </row>
    <row r="4" spans="1:8" s="136" customFormat="1" ht="14.25" x14ac:dyDescent="0.2">
      <c r="A4" s="9"/>
      <c r="B4" s="134"/>
      <c r="C4" s="134"/>
      <c r="E4" s="137"/>
    </row>
    <row r="5" spans="1:8" s="4" customFormat="1" ht="15.6" customHeight="1" x14ac:dyDescent="0.2">
      <c r="A5" s="292"/>
      <c r="B5" s="130"/>
      <c r="C5" s="130"/>
      <c r="D5" s="130"/>
      <c r="E5" s="130"/>
      <c r="F5" s="130"/>
      <c r="G5" s="6"/>
    </row>
    <row r="6" spans="1:8" s="4" customFormat="1" ht="16.5" customHeight="1" x14ac:dyDescent="0.2">
      <c r="A6" s="292"/>
      <c r="B6" s="5"/>
      <c r="C6" s="5"/>
      <c r="D6" s="6"/>
      <c r="E6" s="6"/>
      <c r="F6" s="6"/>
      <c r="G6" s="6"/>
    </row>
    <row r="7" spans="1:8" s="136" customFormat="1" ht="15" thickBot="1" x14ac:dyDescent="0.25">
      <c r="B7" s="134"/>
      <c r="C7" s="134"/>
      <c r="E7" s="137"/>
    </row>
    <row r="8" spans="1:8" ht="15.75" x14ac:dyDescent="0.2">
      <c r="A8" s="354" t="s">
        <v>220</v>
      </c>
      <c r="B8" s="355"/>
      <c r="C8" s="355"/>
      <c r="D8" s="355"/>
      <c r="E8" s="355"/>
      <c r="F8" s="356"/>
    </row>
    <row r="9" spans="1:8" ht="16.5" thickBot="1" x14ac:dyDescent="0.25">
      <c r="A9" s="252"/>
      <c r="B9" s="253"/>
      <c r="C9" s="253"/>
      <c r="D9" s="253"/>
      <c r="E9" s="253"/>
      <c r="F9" s="254"/>
    </row>
    <row r="10" spans="1:8" ht="15" x14ac:dyDescent="0.25">
      <c r="A10" s="202"/>
      <c r="B10" s="135"/>
      <c r="C10" s="135"/>
      <c r="D10" s="351" t="s">
        <v>237</v>
      </c>
      <c r="E10" s="352"/>
      <c r="F10" s="353"/>
      <c r="G10" s="136"/>
      <c r="H10" s="136"/>
    </row>
    <row r="11" spans="1:8" ht="15" thickBot="1" x14ac:dyDescent="0.25">
      <c r="A11" s="199"/>
      <c r="B11" s="203"/>
      <c r="C11" s="203"/>
      <c r="D11" s="204" t="s">
        <v>185</v>
      </c>
      <c r="E11" s="205" t="s">
        <v>186</v>
      </c>
      <c r="F11" s="206" t="s">
        <v>187</v>
      </c>
      <c r="G11" s="136"/>
      <c r="H11" s="136"/>
    </row>
    <row r="12" spans="1:8" ht="14.25" x14ac:dyDescent="0.2">
      <c r="A12" s="207" t="s">
        <v>73</v>
      </c>
      <c r="B12" s="208" t="s">
        <v>74</v>
      </c>
      <c r="C12" s="209">
        <v>0.05</v>
      </c>
      <c r="D12" s="230">
        <v>2.9700000000000001E-2</v>
      </c>
      <c r="E12" s="231">
        <v>5.0799999999999998E-2</v>
      </c>
      <c r="F12" s="232">
        <v>6.2700000000000006E-2</v>
      </c>
      <c r="G12" s="136"/>
      <c r="H12" s="136"/>
    </row>
    <row r="13" spans="1:8" ht="14.25" x14ac:dyDescent="0.2">
      <c r="A13" s="211" t="s">
        <v>75</v>
      </c>
      <c r="B13" s="212" t="s">
        <v>76</v>
      </c>
      <c r="C13" s="213">
        <v>1.2999999999999999E-2</v>
      </c>
      <c r="D13" s="230">
        <f>0.3%+0.56%</f>
        <v>8.6E-3</v>
      </c>
      <c r="E13" s="231">
        <f>0.48%+0.85%</f>
        <v>1.3299999999999999E-2</v>
      </c>
      <c r="F13" s="232">
        <f>0.82%+0.89%</f>
        <v>1.7099999999999997E-2</v>
      </c>
      <c r="G13" s="136"/>
      <c r="H13" s="136"/>
    </row>
    <row r="14" spans="1:8" ht="14.25" x14ac:dyDescent="0.2">
      <c r="A14" s="211" t="s">
        <v>77</v>
      </c>
      <c r="B14" s="212" t="s">
        <v>78</v>
      </c>
      <c r="C14" s="213">
        <v>0.1</v>
      </c>
      <c r="D14" s="230">
        <v>7.7799999999999994E-2</v>
      </c>
      <c r="E14" s="231">
        <v>0.1085</v>
      </c>
      <c r="F14" s="232">
        <v>0.13550000000000001</v>
      </c>
      <c r="G14" s="136"/>
      <c r="H14" s="136"/>
    </row>
    <row r="15" spans="1:8" ht="14.25" x14ac:dyDescent="0.2">
      <c r="A15" s="211" t="s">
        <v>79</v>
      </c>
      <c r="B15" s="212" t="s">
        <v>80</v>
      </c>
      <c r="C15" s="214">
        <f>(1+E15)^(E16/252)-1</f>
        <v>5.9427110401173433E-3</v>
      </c>
      <c r="D15" s="230" t="s">
        <v>269</v>
      </c>
      <c r="E15" s="215">
        <v>0.13250000000000001</v>
      </c>
      <c r="F15" s="210"/>
      <c r="G15" s="136"/>
      <c r="H15" s="136"/>
    </row>
    <row r="16" spans="1:8" ht="14.25" x14ac:dyDescent="0.2">
      <c r="A16" s="211" t="s">
        <v>81</v>
      </c>
      <c r="B16" s="349" t="s">
        <v>82</v>
      </c>
      <c r="C16" s="213">
        <v>0.03</v>
      </c>
      <c r="D16" s="291" t="s">
        <v>188</v>
      </c>
      <c r="E16" s="216">
        <v>12</v>
      </c>
      <c r="F16" s="217"/>
      <c r="G16" s="136"/>
      <c r="H16" s="136"/>
    </row>
    <row r="17" spans="1:8" ht="15" thickBot="1" x14ac:dyDescent="0.25">
      <c r="A17" s="218" t="s">
        <v>83</v>
      </c>
      <c r="B17" s="350"/>
      <c r="C17" s="219">
        <v>3.6499999999999998E-2</v>
      </c>
      <c r="D17" s="193"/>
      <c r="E17" s="220"/>
      <c r="F17" s="217"/>
      <c r="G17" s="136"/>
      <c r="H17" s="136"/>
    </row>
    <row r="18" spans="1:8" ht="14.25" x14ac:dyDescent="0.2">
      <c r="A18" s="221" t="s">
        <v>84</v>
      </c>
      <c r="B18" s="222"/>
      <c r="C18" s="223"/>
      <c r="D18" s="193"/>
      <c r="E18" s="220"/>
      <c r="F18" s="217"/>
      <c r="G18" s="136"/>
      <c r="H18" s="136"/>
    </row>
    <row r="19" spans="1:8" ht="15" thickBot="1" x14ac:dyDescent="0.25">
      <c r="A19" s="224" t="s">
        <v>85</v>
      </c>
      <c r="B19" s="225"/>
      <c r="C19" s="226"/>
      <c r="D19" s="193"/>
      <c r="E19" s="220"/>
      <c r="F19" s="217"/>
      <c r="G19" s="136"/>
      <c r="H19" s="136"/>
    </row>
    <row r="20" spans="1:8" ht="15.75" thickBot="1" x14ac:dyDescent="0.25">
      <c r="A20" s="227" t="s">
        <v>86</v>
      </c>
      <c r="B20" s="228"/>
      <c r="C20" s="229">
        <f>ROUND((((1+C12+C13)*(1+C14)*(1+C15))/(1-(C16+C17))-1),4)</f>
        <v>0.26</v>
      </c>
      <c r="D20" s="233">
        <v>0.21429999999999999</v>
      </c>
      <c r="E20" s="234">
        <v>0.2717</v>
      </c>
      <c r="F20" s="235">
        <v>0.3362</v>
      </c>
      <c r="G20" s="136"/>
      <c r="H20" s="136"/>
    </row>
    <row r="21" spans="1:8" ht="14.25" x14ac:dyDescent="0.2">
      <c r="A21" s="136"/>
      <c r="B21" s="136"/>
      <c r="C21" s="136"/>
      <c r="D21" s="136"/>
      <c r="E21" s="137"/>
      <c r="F21" s="136"/>
      <c r="G21" s="136"/>
      <c r="H21" s="136"/>
    </row>
    <row r="22" spans="1:8" ht="14.25" x14ac:dyDescent="0.2">
      <c r="A22" s="136"/>
      <c r="B22" s="136"/>
      <c r="C22" s="136"/>
      <c r="D22" s="136"/>
      <c r="E22" s="137"/>
      <c r="F22" s="136"/>
      <c r="G22" s="136"/>
      <c r="H22" s="136"/>
    </row>
    <row r="23" spans="1:8" ht="14.25" x14ac:dyDescent="0.2">
      <c r="A23" s="136"/>
      <c r="B23" s="136"/>
      <c r="C23" s="136"/>
      <c r="D23" s="136"/>
      <c r="E23" s="137"/>
      <c r="F23" s="136"/>
      <c r="G23" s="136"/>
      <c r="H23" s="136"/>
    </row>
    <row r="24" spans="1:8" ht="14.25" x14ac:dyDescent="0.2">
      <c r="A24" s="136"/>
      <c r="B24" s="136"/>
      <c r="C24" s="136"/>
      <c r="D24" s="136"/>
      <c r="E24" s="137"/>
      <c r="F24" s="136"/>
      <c r="G24" s="136"/>
      <c r="H24" s="136"/>
    </row>
    <row r="358" spans="6:6" x14ac:dyDescent="0.2">
      <c r="F358" t="str">
        <f>IFERROR(F353/D356,"-")</f>
        <v>-</v>
      </c>
    </row>
  </sheetData>
  <mergeCells count="3">
    <mergeCell ref="B16:B17"/>
    <mergeCell ref="D10:F10"/>
    <mergeCell ref="A8:F8"/>
  </mergeCells>
  <pageMargins left="0.90551181102362199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view="pageBreakPreview" zoomScale="60" zoomScaleNormal="85" workbookViewId="0">
      <selection activeCell="U45" sqref="U45"/>
    </sheetView>
  </sheetViews>
  <sheetFormatPr defaultColWidth="9.140625" defaultRowHeight="19.5" customHeight="1" x14ac:dyDescent="0.2"/>
  <cols>
    <col min="1" max="1" width="24.5703125" style="1" customWidth="1"/>
    <col min="2" max="2" width="20.85546875" style="1" customWidth="1"/>
    <col min="3" max="16384" width="9.140625" style="1"/>
  </cols>
  <sheetData>
    <row r="1" spans="1:2" ht="19.5" customHeight="1" thickBot="1" x14ac:dyDescent="0.25">
      <c r="A1" s="357" t="s">
        <v>222</v>
      </c>
      <c r="B1" s="358"/>
    </row>
    <row r="2" spans="1:2" s="104" customFormat="1" ht="19.5" customHeight="1" x14ac:dyDescent="0.2">
      <c r="A2" s="255" t="s">
        <v>200</v>
      </c>
      <c r="B2" s="256" t="s">
        <v>270</v>
      </c>
    </row>
    <row r="3" spans="1:2" ht="19.5" customHeight="1" x14ac:dyDescent="0.2">
      <c r="A3" s="155">
        <v>1</v>
      </c>
      <c r="B3" s="154">
        <v>33.629999999999995</v>
      </c>
    </row>
    <row r="4" spans="1:2" ht="19.5" customHeight="1" x14ac:dyDescent="0.2">
      <c r="A4" s="155">
        <v>2</v>
      </c>
      <c r="B4" s="154">
        <v>43.13</v>
      </c>
    </row>
    <row r="5" spans="1:2" ht="19.5" customHeight="1" x14ac:dyDescent="0.2">
      <c r="A5" s="155">
        <v>3</v>
      </c>
      <c r="B5" s="154">
        <v>48.68</v>
      </c>
    </row>
    <row r="6" spans="1:2" ht="19.5" customHeight="1" x14ac:dyDescent="0.2">
      <c r="A6" s="155">
        <v>4</v>
      </c>
      <c r="B6" s="154">
        <v>52.62</v>
      </c>
    </row>
    <row r="7" spans="1:2" ht="19.5" customHeight="1" x14ac:dyDescent="0.2">
      <c r="A7" s="155">
        <v>5</v>
      </c>
      <c r="B7" s="154">
        <v>55.679999999999993</v>
      </c>
    </row>
    <row r="8" spans="1:2" ht="19.5" customHeight="1" x14ac:dyDescent="0.2">
      <c r="A8" s="155">
        <v>6</v>
      </c>
      <c r="B8" s="154">
        <v>58.18</v>
      </c>
    </row>
    <row r="9" spans="1:2" ht="19.5" customHeight="1" x14ac:dyDescent="0.2">
      <c r="A9" s="155">
        <v>7</v>
      </c>
      <c r="B9" s="154">
        <v>60.29</v>
      </c>
    </row>
    <row r="10" spans="1:2" ht="19.5" customHeight="1" x14ac:dyDescent="0.2">
      <c r="A10" s="155">
        <v>8</v>
      </c>
      <c r="B10" s="154">
        <v>62.12</v>
      </c>
    </row>
    <row r="11" spans="1:2" ht="19.5" customHeight="1" x14ac:dyDescent="0.2">
      <c r="A11" s="155">
        <v>9</v>
      </c>
      <c r="B11" s="154">
        <v>63.73</v>
      </c>
    </row>
    <row r="12" spans="1:2" ht="19.5" customHeight="1" x14ac:dyDescent="0.2">
      <c r="A12" s="155">
        <v>10</v>
      </c>
      <c r="B12" s="154">
        <v>65.180000000000007</v>
      </c>
    </row>
    <row r="13" spans="1:2" ht="19.5" customHeight="1" x14ac:dyDescent="0.2">
      <c r="A13" s="155">
        <v>11</v>
      </c>
      <c r="B13" s="154">
        <v>66.47999999999999</v>
      </c>
    </row>
    <row r="14" spans="1:2" ht="19.5" customHeight="1" x14ac:dyDescent="0.2">
      <c r="A14" s="155">
        <v>12</v>
      </c>
      <c r="B14" s="154">
        <v>67.67</v>
      </c>
    </row>
    <row r="15" spans="1:2" ht="19.5" customHeight="1" x14ac:dyDescent="0.2">
      <c r="A15" s="155">
        <v>13</v>
      </c>
      <c r="B15" s="154">
        <v>68.77</v>
      </c>
    </row>
    <row r="16" spans="1:2" ht="19.5" customHeight="1" x14ac:dyDescent="0.2">
      <c r="A16" s="155">
        <v>14</v>
      </c>
      <c r="B16" s="154">
        <v>69.789999999999992</v>
      </c>
    </row>
    <row r="17" spans="1:2" ht="19.5" customHeight="1" thickBot="1" x14ac:dyDescent="0.25">
      <c r="A17" s="156">
        <v>15</v>
      </c>
      <c r="B17" s="157">
        <v>70.73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view="pageBreakPreview" zoomScale="40" zoomScaleNormal="10" zoomScaleSheetLayoutView="40" workbookViewId="0">
      <selection activeCell="L376" sqref="A47:L376"/>
    </sheetView>
  </sheetViews>
  <sheetFormatPr defaultColWidth="9.140625" defaultRowHeight="12.75" x14ac:dyDescent="0.2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 x14ac:dyDescent="0.25">
      <c r="A1" s="239" t="s">
        <v>226</v>
      </c>
    </row>
    <row r="2" spans="1:1" x14ac:dyDescent="0.2">
      <c r="A2" s="236"/>
    </row>
    <row r="3" spans="1:1" x14ac:dyDescent="0.2">
      <c r="A3" s="236" t="s">
        <v>240</v>
      </c>
    </row>
    <row r="4" spans="1:1" x14ac:dyDescent="0.2">
      <c r="A4" s="236"/>
    </row>
    <row r="5" spans="1:1" x14ac:dyDescent="0.2">
      <c r="A5" s="236"/>
    </row>
    <row r="6" spans="1:1" x14ac:dyDescent="0.2">
      <c r="A6" s="236"/>
    </row>
    <row r="7" spans="1:1" x14ac:dyDescent="0.2">
      <c r="A7" s="236"/>
    </row>
    <row r="8" spans="1:1" x14ac:dyDescent="0.2">
      <c r="A8" s="236"/>
    </row>
    <row r="9" spans="1:1" x14ac:dyDescent="0.2">
      <c r="A9" s="236"/>
    </row>
    <row r="10" spans="1:1" x14ac:dyDescent="0.2">
      <c r="A10" s="236"/>
    </row>
    <row r="11" spans="1:1" x14ac:dyDescent="0.2">
      <c r="A11" s="236"/>
    </row>
    <row r="12" spans="1:1" ht="19.5" x14ac:dyDescent="0.35">
      <c r="A12" s="237" t="s">
        <v>223</v>
      </c>
    </row>
    <row r="13" spans="1:1" ht="15" x14ac:dyDescent="0.2">
      <c r="A13" s="237" t="s">
        <v>104</v>
      </c>
    </row>
    <row r="14" spans="1:1" ht="15" x14ac:dyDescent="0.2">
      <c r="A14" s="237" t="s">
        <v>108</v>
      </c>
    </row>
    <row r="15" spans="1:1" ht="19.5" x14ac:dyDescent="0.35">
      <c r="A15" s="237" t="s">
        <v>224</v>
      </c>
    </row>
    <row r="16" spans="1:1" ht="19.5" x14ac:dyDescent="0.35">
      <c r="A16" s="237" t="s">
        <v>225</v>
      </c>
    </row>
    <row r="17" spans="1:1" ht="15.75" thickBot="1" x14ac:dyDescent="0.25">
      <c r="A17" s="238" t="s">
        <v>105</v>
      </c>
    </row>
  </sheetData>
  <pageMargins left="0.90551181102362199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view="pageBreakPreview" zoomScale="85" zoomScaleNormal="10" zoomScaleSheetLayoutView="85" workbookViewId="0">
      <selection activeCell="H35" sqref="H35"/>
    </sheetView>
  </sheetViews>
  <sheetFormatPr defaultColWidth="9.140625" defaultRowHeight="12.75" x14ac:dyDescent="0.2"/>
  <cols>
    <col min="1" max="1" width="58.28515625" style="267" customWidth="1"/>
    <col min="2" max="2" width="11.140625" style="267" bestFit="1" customWidth="1"/>
    <col min="3" max="3" width="11.28515625" style="267" bestFit="1" customWidth="1"/>
    <col min="4" max="16384" width="9.140625" style="267"/>
  </cols>
  <sheetData>
    <row r="1" spans="1:7" x14ac:dyDescent="0.2">
      <c r="A1" s="11"/>
    </row>
    <row r="2" spans="1:7" x14ac:dyDescent="0.2">
      <c r="A2" s="272"/>
    </row>
    <row r="3" spans="1:7" x14ac:dyDescent="0.2">
      <c r="A3" s="272"/>
    </row>
    <row r="4" spans="1:7" x14ac:dyDescent="0.2">
      <c r="A4" s="7"/>
    </row>
    <row r="5" spans="1:7" x14ac:dyDescent="0.2">
      <c r="A5" s="7"/>
    </row>
    <row r="6" spans="1:7" s="4" customFormat="1" ht="15.6" customHeight="1" x14ac:dyDescent="0.2">
      <c r="A6" s="292"/>
      <c r="B6" s="130"/>
      <c r="C6" s="130"/>
      <c r="D6" s="130"/>
      <c r="E6" s="130"/>
      <c r="F6" s="130"/>
      <c r="G6" s="6"/>
    </row>
    <row r="7" spans="1:7" s="4" customFormat="1" ht="16.5" customHeight="1" x14ac:dyDescent="0.2">
      <c r="A7" s="292"/>
      <c r="B7" s="5"/>
      <c r="C7" s="5"/>
      <c r="D7" s="6"/>
      <c r="E7" s="6"/>
      <c r="F7" s="6"/>
      <c r="G7" s="6"/>
    </row>
    <row r="8" spans="1:7" ht="13.5" thickBot="1" x14ac:dyDescent="0.25"/>
    <row r="9" spans="1:7" ht="18" x14ac:dyDescent="0.25">
      <c r="A9" s="359" t="s">
        <v>266</v>
      </c>
      <c r="B9" s="360"/>
      <c r="C9" s="361"/>
    </row>
    <row r="10" spans="1:7" s="273" customFormat="1" ht="18" x14ac:dyDescent="0.25">
      <c r="A10" s="288"/>
      <c r="B10" s="287"/>
      <c r="C10" s="289"/>
    </row>
    <row r="11" spans="1:7" s="104" customFormat="1" ht="15" x14ac:dyDescent="0.25">
      <c r="A11" s="274" t="s">
        <v>267</v>
      </c>
      <c r="B11" s="275" t="s">
        <v>247</v>
      </c>
      <c r="C11" s="276" t="s">
        <v>138</v>
      </c>
    </row>
    <row r="12" spans="1:7" ht="14.25" x14ac:dyDescent="0.2">
      <c r="A12" s="277" t="s">
        <v>255</v>
      </c>
      <c r="B12" s="278" t="s">
        <v>248</v>
      </c>
      <c r="C12" s="194">
        <v>43171</v>
      </c>
    </row>
    <row r="13" spans="1:7" ht="14.25" x14ac:dyDescent="0.2">
      <c r="A13" s="193" t="s">
        <v>256</v>
      </c>
      <c r="B13" s="279" t="s">
        <v>253</v>
      </c>
      <c r="C13" s="280">
        <f>0.0362741*C12^0.2336249</f>
        <v>0.43902872739363574</v>
      </c>
    </row>
    <row r="14" spans="1:7" ht="14.25" x14ac:dyDescent="0.2">
      <c r="A14" s="193" t="s">
        <v>257</v>
      </c>
      <c r="B14" s="279" t="s">
        <v>254</v>
      </c>
      <c r="C14" s="281">
        <f>C12*C13/1000</f>
        <v>18.953309190310648</v>
      </c>
    </row>
    <row r="15" spans="1:7" ht="14.25" x14ac:dyDescent="0.2">
      <c r="A15" s="193" t="s">
        <v>263</v>
      </c>
      <c r="B15" s="279" t="s">
        <v>249</v>
      </c>
      <c r="C15" s="282">
        <f>(C14*30)</f>
        <v>568.5992757093195</v>
      </c>
    </row>
    <row r="16" spans="1:7" ht="14.25" x14ac:dyDescent="0.2">
      <c r="A16" s="193" t="s">
        <v>259</v>
      </c>
      <c r="B16" s="279" t="s">
        <v>90</v>
      </c>
      <c r="C16" s="285">
        <v>5</v>
      </c>
    </row>
    <row r="17" spans="1:3" ht="14.25" x14ac:dyDescent="0.2">
      <c r="A17" s="193" t="s">
        <v>258</v>
      </c>
      <c r="B17" s="279" t="s">
        <v>254</v>
      </c>
      <c r="C17" s="281">
        <f>IFERROR(C14*7/C16,0)</f>
        <v>26.534632866434908</v>
      </c>
    </row>
    <row r="18" spans="1:3" ht="14.25" x14ac:dyDescent="0.2">
      <c r="A18" s="277" t="s">
        <v>250</v>
      </c>
      <c r="B18" s="279" t="s">
        <v>251</v>
      </c>
      <c r="C18" s="217">
        <v>500</v>
      </c>
    </row>
    <row r="19" spans="1:3" ht="14.25" x14ac:dyDescent="0.2">
      <c r="A19" s="193" t="s">
        <v>264</v>
      </c>
      <c r="B19" s="279"/>
      <c r="C19" s="194">
        <v>1</v>
      </c>
    </row>
    <row r="20" spans="1:3" ht="14.25" x14ac:dyDescent="0.2">
      <c r="A20" s="277" t="s">
        <v>265</v>
      </c>
      <c r="B20" s="279" t="s">
        <v>252</v>
      </c>
      <c r="C20" s="194">
        <v>12</v>
      </c>
    </row>
    <row r="21" spans="1:3" ht="14.25" x14ac:dyDescent="0.2">
      <c r="A21" s="193" t="s">
        <v>260</v>
      </c>
      <c r="B21" s="279" t="s">
        <v>249</v>
      </c>
      <c r="C21" s="217">
        <f>IF(AND(C20&gt;=15,C19=1),5.8,C20/2)</f>
        <v>6</v>
      </c>
    </row>
    <row r="22" spans="1:3" ht="14.25" x14ac:dyDescent="0.2">
      <c r="A22" s="277" t="s">
        <v>261</v>
      </c>
      <c r="B22" s="279"/>
      <c r="C22" s="281">
        <f>IFERROR(C17/C21,0)</f>
        <v>4.4224388110724844</v>
      </c>
    </row>
    <row r="23" spans="1:3" ht="14.25" x14ac:dyDescent="0.2">
      <c r="A23" s="277" t="s">
        <v>268</v>
      </c>
      <c r="B23" s="279"/>
      <c r="C23" s="290">
        <v>2</v>
      </c>
    </row>
    <row r="24" spans="1:3" ht="15" thickBot="1" x14ac:dyDescent="0.25">
      <c r="A24" s="283" t="s">
        <v>262</v>
      </c>
      <c r="B24" s="284"/>
      <c r="C24" s="286">
        <f>IFERROR(C22/C23,0)</f>
        <v>2.2112194055362422</v>
      </c>
    </row>
  </sheetData>
  <mergeCells count="1">
    <mergeCell ref="A9:C9"/>
  </mergeCells>
  <conditionalFormatting sqref="C21">
    <cfRule type="expression" dxfId="0" priority="1">
      <formula>"SE(E(C20&gt;=15;C19=1))"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9</vt:i4>
      </vt:variant>
    </vt:vector>
  </HeadingPairs>
  <TitlesOfParts>
    <vt:vector size="16" baseType="lpstr">
      <vt:lpstr>1. Coleta Domiciliar</vt:lpstr>
      <vt:lpstr>2.Encargos Sociais</vt:lpstr>
      <vt:lpstr>3.CAGED</vt:lpstr>
      <vt:lpstr>4.BDI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'3.CAGED'!Area_de_impressao</vt:lpstr>
      <vt:lpstr>'4.BDI'!Area_de_impressao</vt:lpstr>
      <vt:lpstr>'5. Depreciação'!Area_de_impressao</vt:lpstr>
      <vt:lpstr>'6.Remuneração de capital'!Area_de_impressao</vt:lpstr>
      <vt:lpstr>'7. Dimensionamento'!Area_de_impressao</vt:lpstr>
    </vt:vector>
  </TitlesOfParts>
  <Company>dmlu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pmsap</cp:lastModifiedBy>
  <cp:lastPrinted>2021-03-31T15:11:07Z</cp:lastPrinted>
  <dcterms:created xsi:type="dcterms:W3CDTF">2000-12-13T10:02:50Z</dcterms:created>
  <dcterms:modified xsi:type="dcterms:W3CDTF">2022-07-22T17:40:46Z</dcterms:modified>
</cp:coreProperties>
</file>